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icestercitycouncil.sharepoint.com/sites/Schools-Accountancy/Shared Documents/FOIA Requests and Statutory Returns/S251 returns/Internet/"/>
    </mc:Choice>
  </mc:AlternateContent>
  <xr:revisionPtr revIDLastSave="30" documentId="8_{74F78C92-18EE-4753-A75F-9288A753CE1B}" xr6:coauthVersionLast="47" xr6:coauthVersionMax="47" xr10:uidLastSave="{E5B2F111-09FA-418B-9BBE-A7D2ACCABC93}"/>
  <bookViews>
    <workbookView xWindow="-120" yWindow="-120" windowWidth="29040" windowHeight="15720" activeTab="2" xr2:uid="{00000000-000D-0000-FFFF-FFFF00000000}"/>
  </bookViews>
  <sheets>
    <sheet name="856 - LA Table" sheetId="1" r:id="rId1"/>
    <sheet name="Early Years" sheetId="3" r:id="rId2"/>
    <sheet name="High Needs Places" sheetId="4" r:id="rId3"/>
  </sheets>
  <externalReferences>
    <externalReference r:id="rId4"/>
    <externalReference r:id="rId5"/>
  </externalReferences>
  <definedNames>
    <definedName name="___v2" hidden="1">#REF!</definedName>
    <definedName name="__123Graph_ADUMMY" hidden="1">#REF!</definedName>
    <definedName name="__123Graph_AMAIN" hidden="1">#REF!</definedName>
    <definedName name="__123Graph_AMONTHLY" hidden="1">#REF!</definedName>
    <definedName name="__123Graph_AMONTHLY2" hidden="1">#REF!</definedName>
    <definedName name="__123Graph_BDUMMY" hidden="1">#REF!</definedName>
    <definedName name="__123Graph_BMAIN" hidden="1">#REF!</definedName>
    <definedName name="__123Graph_BMONTHLY" hidden="1">#REF!</definedName>
    <definedName name="__123Graph_BMONTHLY2" hidden="1">#REF!</definedName>
    <definedName name="__123Graph_CDUMMY" hidden="1">#REF!</definedName>
    <definedName name="__123Graph_CMONTHLY" hidden="1">#REF!</definedName>
    <definedName name="__123Graph_CMONTHLY2" hidden="1">#REF!</definedName>
    <definedName name="__123Graph_DMONTHLY2" hidden="1">#REF!</definedName>
    <definedName name="__123Graph_EMONTHLY2" hidden="1">#REF!</definedName>
    <definedName name="__123Graph_FMONTHLY2" hidden="1">#REF!</definedName>
    <definedName name="__123Graph_XMAIN" hidden="1">#REF!</definedName>
    <definedName name="__123Graph_XMONTHLY" hidden="1">#REF!</definedName>
    <definedName name="__123Graph_XMONTHLY2" hidden="1">#REF!</definedName>
    <definedName name="__v2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Order1" hidden="1">0</definedName>
    <definedName name="_Sort" hidden="1">#REF!</definedName>
    <definedName name="_v2" hidden="1">#REF!</definedName>
    <definedName name="LANumber">'[1]Cover Sheet'!$C$12</definedName>
    <definedName name="Pal_Workbook_GUID" hidden="1">"KQLMPBLEGBTJMFGZIUGRU27J"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otal1" localSheetId="1">'Early Years'!$S$7</definedName>
    <definedName name="Total1">#REF!</definedName>
    <definedName name="Total10" localSheetId="1">'Early Years'!$S$63:$S$68</definedName>
    <definedName name="Total10">#REF!</definedName>
    <definedName name="Total11a" localSheetId="1">'Early Years'!$S$75:$S$76</definedName>
    <definedName name="Total11a">#REF!</definedName>
    <definedName name="Total11b" localSheetId="1">'Early Years'!$S$78:$S$79</definedName>
    <definedName name="Total11b">#REF!</definedName>
    <definedName name="Total11c" localSheetId="1">'Early Years'!$S$81:$S$82</definedName>
    <definedName name="Total11c">#REF!</definedName>
    <definedName name="Total11d" localSheetId="1">'Early Years'!$S$84:$S$85</definedName>
    <definedName name="Total11d">#REF!</definedName>
    <definedName name="Total12" localSheetId="1">'Early Years'!$S$89:$S$92</definedName>
    <definedName name="Total12">#REF!</definedName>
    <definedName name="Total12a" localSheetId="1">'Early Years'!$S$89</definedName>
    <definedName name="Total12a">#REF!</definedName>
    <definedName name="Total12b" localSheetId="1">'Early Years'!$S$90</definedName>
    <definedName name="Total12b">#REF!</definedName>
    <definedName name="Total12c" localSheetId="1">'Early Years'!$S$91</definedName>
    <definedName name="Total12c">#REF!</definedName>
    <definedName name="Total12d" localSheetId="1">'Early Years'!$S$92</definedName>
    <definedName name="Total12d">#REF!</definedName>
    <definedName name="Total13a" localSheetId="1">'Early Years'!$S$97:$S$98</definedName>
    <definedName name="Total13a">#REF!</definedName>
    <definedName name="Total13b" localSheetId="1">'Early Years'!$S$100:$S$101</definedName>
    <definedName name="Total13b">#REF!</definedName>
    <definedName name="Total13c" localSheetId="1">'Early Years'!$S$103:$S$104</definedName>
    <definedName name="Total13c">#REF!</definedName>
    <definedName name="Total13d" localSheetId="1">'Early Years'!$S$106:$S$107</definedName>
    <definedName name="Total13d">#REF!</definedName>
    <definedName name="Total14" localSheetId="1">'Early Years'!$S$111:$S$114</definedName>
    <definedName name="Total14">#REF!</definedName>
    <definedName name="Total15" localSheetId="1">'Early Years'!$S$118:$S$121</definedName>
    <definedName name="Total15">#REF!</definedName>
    <definedName name="Total1a" localSheetId="1">'Early Years'!$J$7:$O$7</definedName>
    <definedName name="Total1a">#REF!</definedName>
    <definedName name="Total2" localSheetId="1">'Early Years'!$S$11:$S$16</definedName>
    <definedName name="Total2">#REF!</definedName>
    <definedName name="Total3" localSheetId="1">'Early Years'!$S$20</definedName>
    <definedName name="Total3">#REF!</definedName>
    <definedName name="Total4" localSheetId="1">'Early Years'!$S$25</definedName>
    <definedName name="Total4">#REF!</definedName>
    <definedName name="Total4a" localSheetId="1">'Early Years'!$J$25:$L$25</definedName>
    <definedName name="Total4a">#REF!</definedName>
    <definedName name="Total5" localSheetId="1">'Early Years'!$S$29:$S$34</definedName>
    <definedName name="Total5">#REF!</definedName>
    <definedName name="Total6" localSheetId="1">'Early Years'!$S$39</definedName>
    <definedName name="Total6">#REF!</definedName>
    <definedName name="Total7" localSheetId="1">'Early Years'!$S$44</definedName>
    <definedName name="Total7">#REF!</definedName>
    <definedName name="Total7a" localSheetId="1">'Early Years'!$J$44:$L$44</definedName>
    <definedName name="Total7a">#REF!</definedName>
    <definedName name="Total8" localSheetId="1">'Early Years'!$S$48:$S$53</definedName>
    <definedName name="Total8">#REF!</definedName>
    <definedName name="Total9" localSheetId="1">'Early Years'!$S$59</definedName>
    <definedName name="Total9">#REF!</definedName>
    <definedName name="Total9a" localSheetId="1">'Early Years'!$J$59:$L$59</definedName>
    <definedName name="Total9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6" i="3" l="1"/>
  <c r="S122" i="3"/>
  <c r="AN121" i="3"/>
  <c r="AN120" i="3"/>
  <c r="AN119" i="3"/>
  <c r="AN118" i="3"/>
  <c r="S115" i="3"/>
  <c r="AN114" i="3"/>
  <c r="AN113" i="3"/>
  <c r="AN112" i="3"/>
  <c r="AN111" i="3"/>
  <c r="AN107" i="3"/>
  <c r="AN106" i="3"/>
  <c r="AN104" i="3"/>
  <c r="AN103" i="3"/>
  <c r="AN101" i="3"/>
  <c r="AN100" i="3"/>
  <c r="S98" i="3"/>
  <c r="AN98" i="3" s="1"/>
  <c r="AN97" i="3"/>
  <c r="S92" i="3"/>
  <c r="S93" i="3" s="1"/>
  <c r="AN91" i="3"/>
  <c r="AN90" i="3"/>
  <c r="AN89" i="3"/>
  <c r="S85" i="3"/>
  <c r="AN85" i="3" s="1"/>
  <c r="S84" i="3"/>
  <c r="AN84" i="3" s="1"/>
  <c r="S82" i="3"/>
  <c r="AN82" i="3" s="1"/>
  <c r="S81" i="3"/>
  <c r="AN81" i="3" s="1"/>
  <c r="S79" i="3"/>
  <c r="AN79" i="3" s="1"/>
  <c r="S78" i="3"/>
  <c r="AN78" i="3" s="1"/>
  <c r="S76" i="3"/>
  <c r="AN76" i="3" s="1"/>
  <c r="S75" i="3"/>
  <c r="AN75" i="3" s="1"/>
  <c r="R68" i="3"/>
  <c r="Q68" i="3"/>
  <c r="P68" i="3"/>
  <c r="R67" i="3"/>
  <c r="Q67" i="3"/>
  <c r="P67" i="3"/>
  <c r="R66" i="3"/>
  <c r="Q66" i="3"/>
  <c r="P66" i="3"/>
  <c r="R65" i="3"/>
  <c r="Q65" i="3"/>
  <c r="P65" i="3"/>
  <c r="R64" i="3"/>
  <c r="Q64" i="3"/>
  <c r="P64" i="3"/>
  <c r="R59" i="3"/>
  <c r="Q59" i="3"/>
  <c r="J59" i="3"/>
  <c r="R53" i="3"/>
  <c r="Q53" i="3"/>
  <c r="P53" i="3"/>
  <c r="R52" i="3"/>
  <c r="Q52" i="3"/>
  <c r="P52" i="3"/>
  <c r="R51" i="3"/>
  <c r="Q51" i="3"/>
  <c r="P51" i="3"/>
  <c r="R50" i="3"/>
  <c r="Q50" i="3"/>
  <c r="P50" i="3"/>
  <c r="R49" i="3"/>
  <c r="Q49" i="3"/>
  <c r="P49" i="3"/>
  <c r="R44" i="3"/>
  <c r="Q44" i="3"/>
  <c r="J44" i="3"/>
  <c r="P44" i="3" s="1"/>
  <c r="S39" i="3"/>
  <c r="AN39" i="3" s="1"/>
  <c r="R34" i="3"/>
  <c r="Q34" i="3"/>
  <c r="P34" i="3"/>
  <c r="R33" i="3"/>
  <c r="Q33" i="3"/>
  <c r="P33" i="3"/>
  <c r="R32" i="3"/>
  <c r="Q32" i="3"/>
  <c r="P32" i="3"/>
  <c r="R31" i="3"/>
  <c r="Q31" i="3"/>
  <c r="P31" i="3"/>
  <c r="R30" i="3"/>
  <c r="Q30" i="3"/>
  <c r="J30" i="3"/>
  <c r="P30" i="3" s="1"/>
  <c r="R25" i="3"/>
  <c r="Q25" i="3"/>
  <c r="J25" i="3"/>
  <c r="Q20" i="3"/>
  <c r="S20" i="3" s="1"/>
  <c r="R16" i="3"/>
  <c r="Q16" i="3"/>
  <c r="P16" i="3"/>
  <c r="R15" i="3"/>
  <c r="Q15" i="3"/>
  <c r="P15" i="3"/>
  <c r="R14" i="3"/>
  <c r="Q14" i="3"/>
  <c r="P14" i="3"/>
  <c r="Q13" i="3"/>
  <c r="L13" i="3"/>
  <c r="R13" i="3" s="1"/>
  <c r="J13" i="3"/>
  <c r="P13" i="3" s="1"/>
  <c r="Q12" i="3"/>
  <c r="L12" i="3"/>
  <c r="R12" i="3" s="1"/>
  <c r="J12" i="3"/>
  <c r="P12" i="3" s="1"/>
  <c r="Q7" i="3"/>
  <c r="L7" i="3"/>
  <c r="J7" i="3"/>
  <c r="P7" i="3" s="1"/>
  <c r="S16" i="3" l="1"/>
  <c r="S66" i="3"/>
  <c r="AN66" i="3" s="1"/>
  <c r="S64" i="3"/>
  <c r="AN92" i="3"/>
  <c r="S31" i="3"/>
  <c r="AN31" i="3" s="1"/>
  <c r="AN16" i="3"/>
  <c r="S67" i="3"/>
  <c r="S51" i="3"/>
  <c r="AN51" i="3" s="1"/>
  <c r="S53" i="3"/>
  <c r="AN53" i="3" s="1"/>
  <c r="S14" i="3"/>
  <c r="AN14" i="3" s="1"/>
  <c r="S33" i="3"/>
  <c r="AN33" i="3" s="1"/>
  <c r="P59" i="3"/>
  <c r="S59" i="3"/>
  <c r="AN59" i="3" s="1"/>
  <c r="AN20" i="3"/>
  <c r="S44" i="3"/>
  <c r="AN44" i="3" s="1"/>
  <c r="S30" i="3"/>
  <c r="AN30" i="3" s="1"/>
  <c r="S12" i="3"/>
  <c r="AN12" i="3" s="1"/>
  <c r="S13" i="3"/>
  <c r="AN13" i="3" s="1"/>
  <c r="AN64" i="3"/>
  <c r="S50" i="3"/>
  <c r="AN50" i="3" s="1"/>
  <c r="S68" i="3"/>
  <c r="AN68" i="3" s="1"/>
  <c r="P25" i="3"/>
  <c r="S25" i="3" s="1"/>
  <c r="R7" i="3"/>
  <c r="S7" i="3" s="1"/>
  <c r="S65" i="3"/>
  <c r="S15" i="3"/>
  <c r="AN15" i="3" s="1"/>
  <c r="S32" i="3"/>
  <c r="AN32" i="3" s="1"/>
  <c r="S52" i="3"/>
  <c r="AN52" i="3" s="1"/>
  <c r="S49" i="3"/>
  <c r="AN49" i="3" s="1"/>
  <c r="S34" i="3"/>
  <c r="AN34" i="3" s="1"/>
  <c r="S86" i="3"/>
  <c r="S108" i="3"/>
  <c r="S70" i="3" l="1"/>
  <c r="S132" i="3"/>
  <c r="AN67" i="3"/>
  <c r="S69" i="3"/>
  <c r="AN65" i="3"/>
  <c r="S21" i="3"/>
  <c r="S129" i="3" s="1"/>
  <c r="S17" i="3"/>
  <c r="AN25" i="3"/>
  <c r="AN7" i="3"/>
  <c r="S40" i="3"/>
  <c r="S130" i="3" s="1"/>
  <c r="S35" i="3"/>
  <c r="S55" i="3"/>
  <c r="S131" i="3"/>
  <c r="S54" i="3"/>
  <c r="S134" i="3" l="1"/>
  <c r="S138" i="3" s="1"/>
</calcChain>
</file>

<file path=xl/sharedStrings.xml><?xml version="1.0" encoding="utf-8"?>
<sst xmlns="http://schemas.openxmlformats.org/spreadsheetml/2006/main" count="1393" uniqueCount="333">
  <si>
    <t>LA Table: FUNDING PERIOD (2024-25)</t>
  </si>
  <si>
    <t>Department for Education Section 251 Financial Data Collection</t>
  </si>
  <si>
    <t>Local Authority: 856 LEICESTER CITY COUNCIL</t>
  </si>
  <si>
    <t>Early Years</t>
  </si>
  <si>
    <t>Primary</t>
  </si>
  <si>
    <t>Secondary</t>
  </si>
  <si>
    <t>Gross</t>
  </si>
  <si>
    <t>Income</t>
  </si>
  <si>
    <t>Net</t>
  </si>
  <si>
    <t>1.0.1 Individual Schools Budget (before academy recoupment), including sixth form grant for maintained schools, but excluding high needs place funding</t>
  </si>
  <si>
    <t>1.0.2 High needs place funding within Individual Schools Budget (before academy recoupment), excluding funding for 16-19 academies and free schools and FE colleges and independent learning providers</t>
  </si>
  <si>
    <t>1.1.1 Contingencies</t>
  </si>
  <si>
    <t>1.1.2 Behaviour support services</t>
  </si>
  <si>
    <t>1.1.3 Support to UPEG and bilingual learners</t>
  </si>
  <si>
    <t>1.1.4 Free school meals eligibility</t>
  </si>
  <si>
    <t>1.1.5 Insurance</t>
  </si>
  <si>
    <t>1.1.6 Museum and Library services</t>
  </si>
  <si>
    <t>1.1.7 Licences/subscriptions</t>
  </si>
  <si>
    <t>1.1.8 Staff costs – supply cover excluding cover for facility time</t>
  </si>
  <si>
    <t>1.1.9 Staff costs – supply cover for facility time</t>
  </si>
  <si>
    <t>1.2.1 Top-up funding – maintained schools</t>
  </si>
  <si>
    <t>1.2.2 Top-up funding – academies, free schools and colleges</t>
  </si>
  <si>
    <t>1.2.3 Top-up and other funding – non-maintained and independent providers</t>
  </si>
  <si>
    <t>1.2.4 Additional high needs targeted funding for mainstream schools and academies</t>
  </si>
  <si>
    <t>1.2.5 SEN support services</t>
  </si>
  <si>
    <t>1.2.6 Hospital education services</t>
  </si>
  <si>
    <t>1.2.7 Other alternative provision services</t>
  </si>
  <si>
    <t>1.2.8 Support for inclusion</t>
  </si>
  <si>
    <t>1.2.9 Special schools and PRUs in financial difficulty</t>
  </si>
  <si>
    <t>1.2.10 PFI/ BSF costs at special schools, AP/ PRUs and Post 16 institutions only</t>
  </si>
  <si>
    <t>1.2.11 Direct payments (SEN and disability)</t>
  </si>
  <si>
    <t>1.2.13 Therapies and other health related services</t>
  </si>
  <si>
    <t>1.3.1 Central expenditure on early years entitlement</t>
  </si>
  <si>
    <t>1.4.1 Contribution to combined budgets</t>
  </si>
  <si>
    <t>1.4.2 School admissions</t>
  </si>
  <si>
    <t>1.4.3 Servicing of schools forums</t>
  </si>
  <si>
    <t>1.4.4 Termination of employment costs</t>
  </si>
  <si>
    <t>1.4.5 Falling Rolls Fund</t>
  </si>
  <si>
    <t>1.4.6 Capital expenditure from revenue (CERA)</t>
  </si>
  <si>
    <t>1.4.7 Prudential borrowing costs</t>
  </si>
  <si>
    <t>1.4.8 Fees to independent schools without SEN</t>
  </si>
  <si>
    <t>1.4.9 Equal pay - back pay</t>
  </si>
  <si>
    <t>1.4.10 Pupil growth</t>
  </si>
  <si>
    <t>1.4.11 SEN transport</t>
  </si>
  <si>
    <t>1.4.12 Exceptions agreed by Secretary of State</t>
  </si>
  <si>
    <t>1.4.13 Infant class sizes</t>
  </si>
  <si>
    <t>1.4.14 Other Items</t>
  </si>
  <si>
    <t>1.5.1 Education welfare service</t>
  </si>
  <si>
    <t/>
  </si>
  <si>
    <t>1.5.2 Asset management</t>
  </si>
  <si>
    <t>1.5.3 Statutory/ Regulatory duties</t>
  </si>
  <si>
    <t>1.6.1 Central support services</t>
  </si>
  <si>
    <t>1.6.2 Education welfare service</t>
  </si>
  <si>
    <t>1.6.3 Asset Management</t>
  </si>
  <si>
    <t>1.6.4 Statutory/ Regulatory duties</t>
  </si>
  <si>
    <t>1.6.5 Premature retirement cost/ Redundancy costs (new provisions)</t>
  </si>
  <si>
    <t>1.6.6 Monitoring national curriculum assessment</t>
  </si>
  <si>
    <t>1.6.7 School Improvement</t>
  </si>
  <si>
    <t>1.7.1 Other Specific Grants</t>
  </si>
  <si>
    <t>1.8.1 TOTAL SCHOOLS BUDGET (before Academy recoupment)</t>
  </si>
  <si>
    <t>1.9.1 Estimated Dedicated Schools Grant for 2024-25 (before academy recoupment), excluding high needs place funding for 16-19 academies and free schools and FE colleges and independent learning providers</t>
  </si>
  <si>
    <t>1.9.2 Dedicated Schools Grant brought forward from 2023-24 (please show a deficit as a negative)</t>
  </si>
  <si>
    <t>1.9.3 Dedicated Schools Grant carry forward to 2025-26 (please show a deficit as a positive)</t>
  </si>
  <si>
    <t>1.9.4  Grant for maintained school sixth forms</t>
  </si>
  <si>
    <t>1.9.5 Local Authority additional contribution</t>
  </si>
  <si>
    <t>1.9.6 Total funding supporting the Schools Budget (the sum of lines 1.9.1 to 1.9.5)</t>
  </si>
  <si>
    <t>1.10.1 Academy recoupment from the Dedicated Schools Grant of schools block funding (show as a negative)</t>
  </si>
  <si>
    <t>1.10.2 Academy recoupment from the Dedicated Schools Grant of high needs place funding shown under line 1.0.2 (show as a negative)</t>
  </si>
  <si>
    <t>2.0.1 Central support services</t>
  </si>
  <si>
    <t>2.0.2 Education welfare service</t>
  </si>
  <si>
    <t>2.0.3 School improvement</t>
  </si>
  <si>
    <t>2.0.4 Asset management - education</t>
  </si>
  <si>
    <t>2.0.5 Statutory/ Regulatory duties - education</t>
  </si>
  <si>
    <t>2.0.6 Premature retirement cost/ Redundancy costs (new provisions)</t>
  </si>
  <si>
    <t>2.0.7 Monitoring national curriculum assessment</t>
  </si>
  <si>
    <t>2.1.1 Educational psychology service</t>
  </si>
  <si>
    <t>2.1.2 SEN administration, assessment and coordination and monitoring</t>
  </si>
  <si>
    <t>2.1.3 Independent Advice and Support Services (Parent partnership), guidance and information</t>
  </si>
  <si>
    <t>2.1.4 Home to school transport (pre 16): SEN transport expenditure</t>
  </si>
  <si>
    <t>2.1.5 Home to school transport (pre 16): mainstream home to school transport expenditure</t>
  </si>
  <si>
    <t>2.1.6 Home to post-16 provision: SEN/ LLDD transport expenditure (aged 16-18)</t>
  </si>
  <si>
    <t>2.1.7 Home to post-16 provision: SEN/ LLDD transport expenditure (aged 19-25)</t>
  </si>
  <si>
    <t>2.1.8 Home to post-16 provision transport: mainstream home to post-16 transport expenditure</t>
  </si>
  <si>
    <t>2.1.9 Supply of school places</t>
  </si>
  <si>
    <t>2.2.1 Other spend not funded from the Schools Budget</t>
  </si>
  <si>
    <t>2.3.1 Young people's learning and development</t>
  </si>
  <si>
    <t>2.3.2 Adult and Community learning</t>
  </si>
  <si>
    <t>2.3.3 Pension costs</t>
  </si>
  <si>
    <t>2.3.4 Joint use arrangements</t>
  </si>
  <si>
    <t>2.3.5 Insurance</t>
  </si>
  <si>
    <t>2.4.1 Other Specific Grant</t>
  </si>
  <si>
    <t>2.5.1 Total Other education and community budget</t>
  </si>
  <si>
    <t>3.0.1 Funding for individual Sure Start Children's Centres</t>
  </si>
  <si>
    <t>3.0.2 Funding for local authority provided or commissioned area wide services delivered through Sure Start Children's Centres</t>
  </si>
  <si>
    <t>3.0.3 Funding on local authority management costs relating to Sure Start Children's Centres</t>
  </si>
  <si>
    <t>3.0.4 Other spend on children under 5</t>
  </si>
  <si>
    <t>3.0.5 Total Sure Start children's centres and other spend on children under 5</t>
  </si>
  <si>
    <t>3.1.1 Residential care</t>
  </si>
  <si>
    <t>3.1.2a Fostering services (excluding fees and allowances for LA foster carers)</t>
  </si>
  <si>
    <t>3.1.2b Fostering services (fees and allowances for LA foster carers)</t>
  </si>
  <si>
    <t>3.1.3 Adoption services</t>
  </si>
  <si>
    <t>3.1.4 Special guardianship support</t>
  </si>
  <si>
    <t>3.1.5 Other children looked after services</t>
  </si>
  <si>
    <t>3.1.6 Short breaks (respite) for looked after disabled children</t>
  </si>
  <si>
    <t>3.1.7 Children placed with family and friends</t>
  </si>
  <si>
    <t>3.1.8 Education of looked after children</t>
  </si>
  <si>
    <t>3.1.9 Leaving care support services</t>
  </si>
  <si>
    <t>3.1.10 Asylum seeker services children</t>
  </si>
  <si>
    <t>3.1.11 Total Children Looked After</t>
  </si>
  <si>
    <t>3.2.1 Other children and families services</t>
  </si>
  <si>
    <t>3.3.1 Social work (including LA functions in relation to child protection)</t>
  </si>
  <si>
    <t>3.3.2 Commissioning and Children's Services Strategy</t>
  </si>
  <si>
    <t>3.3.3 Local Safeguarding Children Board</t>
  </si>
  <si>
    <t>3.3.4 Total Safeguarding Children and Young People's Services</t>
  </si>
  <si>
    <t>3.4.1 Direct payments</t>
  </si>
  <si>
    <t>3.4.2 Short breaks (respite) for disabled children</t>
  </si>
  <si>
    <t>3.4.3 Other support for disabled children</t>
  </si>
  <si>
    <t>3.4.4 Targeted family support</t>
  </si>
  <si>
    <t>3.4.5 Universal family support</t>
  </si>
  <si>
    <t>3.4.6 Total Family Support Services</t>
  </si>
  <si>
    <t>3.5.1 Universal services for young people</t>
  </si>
  <si>
    <t>3.5.2 Targeted services for young people</t>
  </si>
  <si>
    <t>3.5.3 Total Services for young people</t>
  </si>
  <si>
    <t>3.6.1 Youth justice</t>
  </si>
  <si>
    <t>4.0.1 Capital Expenditure from Revenue (CERA) (Non-schools budget functions and Children's and young people services)</t>
  </si>
  <si>
    <t>5.0.1 Total Schools Budget and Other education and community budget (excluding CERA) (lines 1.8.1 and 2.5.1)</t>
  </si>
  <si>
    <t>5.0.2 Total Children and Young People's Services and Youth Justice Budget (excluding CERA)(lines 3.0.5 + 3.1.11 + 3.2.1 + 3.3.4 + 3.4.6 + 3.5.3 + 3.6.1)</t>
  </si>
  <si>
    <t>6 Total Schools Budget, Other education and community budget, Children and Young People's Services and Youth Justice Budget (excluding CERA) (lines 5.0.1 + 5.0.2)</t>
  </si>
  <si>
    <t>7 Capital Expenditure (excluding CERA)</t>
  </si>
  <si>
    <t>8a.1 Substance misuse services (Drugs, Alcohol and Volatile substances) (included in 3.5.1 and 3.5.2 above)</t>
  </si>
  <si>
    <t>8a.2 Teenage pregnancy services (included in 3.5.1 and 3.5.2 above)</t>
  </si>
  <si>
    <t>1.8.1a DSG Block Planned Expenditure</t>
  </si>
  <si>
    <t>Allocated DSG funding</t>
  </si>
  <si>
    <t>Planned Spend</t>
  </si>
  <si>
    <t>Schools (before academy recoupment)</t>
  </si>
  <si>
    <t>Central School Services</t>
  </si>
  <si>
    <t>High Needs (excluding post school)</t>
  </si>
  <si>
    <t>Total</t>
  </si>
  <si>
    <t>S251 Budget 2024-25</t>
  </si>
  <si>
    <t>EYSFF (3 &amp; 4 year olds): 
Base rate</t>
  </si>
  <si>
    <t>Row No.</t>
  </si>
  <si>
    <t>Description</t>
  </si>
  <si>
    <t>Unit Value (£)</t>
  </si>
  <si>
    <t>Unit
Applied</t>
  </si>
  <si>
    <t>Number of Units (Universal 15 hours)</t>
  </si>
  <si>
    <t>Number of Units (Additional 15 hours)</t>
  </si>
  <si>
    <t>Anticipated Budget (£)</t>
  </si>
  <si>
    <t>Early Years Proforma Table</t>
  </si>
  <si>
    <t>PVI</t>
  </si>
  <si>
    <t>Nursery School</t>
  </si>
  <si>
    <t>Primary Nursery Class</t>
  </si>
  <si>
    <t>TOTAL</t>
  </si>
  <si>
    <t>Is Data Present on Row?</t>
  </si>
  <si>
    <t>(3 &amp; 4 Year Olds): 
Base Rate</t>
  </si>
  <si>
    <t>Description
(Max 250 characters)</t>
  </si>
  <si>
    <t>EY1</t>
  </si>
  <si>
    <t xml:space="preserve">1. Base Rate(s) per hour, per provider type  </t>
  </si>
  <si>
    <t>PerHour</t>
  </si>
  <si>
    <t>5.0.13, 5.0.14, 1009, 1010, LENGTH</t>
  </si>
  <si>
    <t>5.0.0, 5.07, 5.0.8, 5.0.11, 1038, 1039</t>
  </si>
  <si>
    <t>5.0.0, 5.07,  5.0.11, 5.0.12, 1039</t>
  </si>
  <si>
    <t>5.0.0, 5.0.10, 5.0.12, 1040, 1039</t>
  </si>
  <si>
    <t>End of section 1</t>
  </si>
  <si>
    <t>(3 &amp; 4 Year Olds):
Other Formula Factors</t>
  </si>
  <si>
    <t>Number of Units (Universal &amp; Additional 15 hours)</t>
  </si>
  <si>
    <t>Not used</t>
  </si>
  <si>
    <t>2. Supplements (please provide in written format a short explanation of your supplement payments)</t>
  </si>
  <si>
    <t>EY2a</t>
  </si>
  <si>
    <t>(a) Deprivation</t>
  </si>
  <si>
    <t>The rates are £0.05, £0.10 and £0.21. Average is £0.15.</t>
  </si>
  <si>
    <t>EY2b</t>
  </si>
  <si>
    <t>(b) Quality</t>
  </si>
  <si>
    <t xml:space="preserve">The rates for QTS staff in the establisment the supplement available is £0.16 and the rate for communication accreditation is £0.05. </t>
  </si>
  <si>
    <t>EY2c</t>
  </si>
  <si>
    <t>(c) Flexibility</t>
  </si>
  <si>
    <t>EY2d</t>
  </si>
  <si>
    <t>(d) Rurality / Sparsity</t>
  </si>
  <si>
    <t>EY2e</t>
  </si>
  <si>
    <t>(e) EAL</t>
  </si>
  <si>
    <t>Funding provided through supplements:</t>
  </si>
  <si>
    <t>EY3</t>
  </si>
  <si>
    <t>3. Maintained nursery school (MNS) lump sums</t>
  </si>
  <si>
    <t xml:space="preserve">End of Section 3 </t>
  </si>
  <si>
    <t>TOTAL FUNDING FOR EARLY YEARS SINGLE FUNDING FORMULA (3 &amp; 4 YEAR OLDS):</t>
  </si>
  <si>
    <t>2 Year Olds - Disadvantaged:
Base Rate</t>
  </si>
  <si>
    <t>Number of Units</t>
  </si>
  <si>
    <t>EY4</t>
  </si>
  <si>
    <t>4. Base Rate(s) per hour, per provider type</t>
  </si>
  <si>
    <t>2 Year Olds - Disadvantaged:
Other Formula Factors</t>
  </si>
  <si>
    <t>5. Supplements (please provide in written format a short explanation of your supplement payments)</t>
  </si>
  <si>
    <t>EY5a</t>
  </si>
  <si>
    <t>EY5b</t>
  </si>
  <si>
    <t>EY5c</t>
  </si>
  <si>
    <t>EY5d</t>
  </si>
  <si>
    <t>EY5e</t>
  </si>
  <si>
    <t>EY6</t>
  </si>
  <si>
    <t>6. Total 'top-up' amount paid to individual providers to ensure the disadvantaged 2 year old rate is at least equal to the 2 year old working parent rate</t>
  </si>
  <si>
    <t>TOTAL FUNDING FOR EARLY YEARS LOCAL FUNDING FORMULA (2 YEAR OLDS - DISADVANTAGED):</t>
  </si>
  <si>
    <t>2 Year Olds - Working Parents:
Base Rate</t>
  </si>
  <si>
    <t>EY7</t>
  </si>
  <si>
    <t>7. Base Rate(s) per hour, per provider type</t>
  </si>
  <si>
    <t>2 Year Olds - Working Parents:
Other Formula Factors</t>
  </si>
  <si>
    <t>8. Supplements (please provide in written format a short explanation of your supplement payments)</t>
  </si>
  <si>
    <t>EY8a</t>
  </si>
  <si>
    <t>EY8b</t>
  </si>
  <si>
    <t>EY8c</t>
  </si>
  <si>
    <t>EY8d</t>
  </si>
  <si>
    <t>EY8e</t>
  </si>
  <si>
    <t>TOTAL FUNDING FOR EARLY YEARS LOCAL FUNDING FORMULA (2 YEAR OLDS - WORKING PARENTS):</t>
  </si>
  <si>
    <t>9 Month to 2 Year Olds - Working Parents:
Base Rate</t>
  </si>
  <si>
    <t>EY9</t>
  </si>
  <si>
    <t>9. Base Rate(s) per hour, per provider type</t>
  </si>
  <si>
    <t>9 Month to 2 Year Olds - Working Parents:
Other Formula Factors</t>
  </si>
  <si>
    <t>10. Supplements (please provide in written format a short explanation of your supplement payments)</t>
  </si>
  <si>
    <t>EY10a</t>
  </si>
  <si>
    <t>EY10b</t>
  </si>
  <si>
    <t>EY10c</t>
  </si>
  <si>
    <t>EY10d</t>
  </si>
  <si>
    <t>EY10e</t>
  </si>
  <si>
    <t>TOTAL FUNDING FOR EARLY YEARS LOCAL FUNDING FORMULA (9 MONTHS TO 2 YEARS OLD - WORKING PARENTS):</t>
  </si>
  <si>
    <t xml:space="preserve">11. SENIF (funding paid directly to providers) </t>
  </si>
  <si>
    <t>(a) 3 &amp; 4 Year Olds</t>
  </si>
  <si>
    <t>EY11ai</t>
  </si>
  <si>
    <t>(ai) Funding allocated from EY Block</t>
  </si>
  <si>
    <t>LENGTH</t>
  </si>
  <si>
    <t>EY11aii</t>
  </si>
  <si>
    <t>(aii) Funding allocated from HN Block</t>
  </si>
  <si>
    <t>(b) 2 Year Olds - Disadvantaged</t>
  </si>
  <si>
    <t>EY11bi</t>
  </si>
  <si>
    <t>(bi) Funding allocated from EY Block</t>
  </si>
  <si>
    <t>EY11bii</t>
  </si>
  <si>
    <t>(bii) Funding allocated from HN Block</t>
  </si>
  <si>
    <t>(c) 2 Year Olds - Working Parents</t>
  </si>
  <si>
    <t>EY11ci</t>
  </si>
  <si>
    <t>(ci) Funding allocated from EY Block</t>
  </si>
  <si>
    <t>EY11cii</t>
  </si>
  <si>
    <t>(cii) Funding allocated from HN Block</t>
  </si>
  <si>
    <t>(d) 9 Month to 2 Year Olds - Working parents</t>
  </si>
  <si>
    <t>EY11di</t>
  </si>
  <si>
    <t>(di) Funding allocated from EY Block</t>
  </si>
  <si>
    <t>EY11dii</t>
  </si>
  <si>
    <t>(dii) Funding allocated from HN Block</t>
  </si>
  <si>
    <t>TOTAL FUNDING FOR SENIF (FUNDING PAID DIRECTLY TO PROVIDERS):</t>
  </si>
  <si>
    <t xml:space="preserve">12. Early years contingency funding </t>
  </si>
  <si>
    <t>Anticipated total budget (£)</t>
  </si>
  <si>
    <t>EY12a</t>
  </si>
  <si>
    <t>EY12b</t>
  </si>
  <si>
    <t>EY12c</t>
  </si>
  <si>
    <t>EY12d</t>
  </si>
  <si>
    <t>(d) 9 Month to 2 Year Olds - Working Parents</t>
  </si>
  <si>
    <t xml:space="preserve">TOTAL FUNDING FOR EARLY YEARS CONTINGENCY FUNDING:  </t>
  </si>
  <si>
    <t>13. Early years centrally retained funding</t>
  </si>
  <si>
    <t>EY13ai</t>
  </si>
  <si>
    <t>(ai) SENIF</t>
  </si>
  <si>
    <t>EY13aii</t>
  </si>
  <si>
    <t>(aii) Other</t>
  </si>
  <si>
    <t>EY13bi</t>
  </si>
  <si>
    <t>(bi) SENIF</t>
  </si>
  <si>
    <t>EY13bii</t>
  </si>
  <si>
    <t>(bii) Other</t>
  </si>
  <si>
    <t>EY13ci</t>
  </si>
  <si>
    <t>(ci) SENIF</t>
  </si>
  <si>
    <t>EY13cii</t>
  </si>
  <si>
    <t>(cii) Other</t>
  </si>
  <si>
    <t>EY13di</t>
  </si>
  <si>
    <t>(di) SENIF</t>
  </si>
  <si>
    <t>EY13dii</t>
  </si>
  <si>
    <t>(dii) Other</t>
  </si>
  <si>
    <t>TOTAL FUNDING FOR EARLY YEARS CENTRAL EXPENDITURE:</t>
  </si>
  <si>
    <t>14. Early years pupil premium</t>
  </si>
  <si>
    <t>EY14a</t>
  </si>
  <si>
    <t>EY14b</t>
  </si>
  <si>
    <t>EY14c</t>
  </si>
  <si>
    <t>EY14d</t>
  </si>
  <si>
    <t>TOTAL FUNDING FOR EARLY YEARS PUPIL PREMIUM:</t>
  </si>
  <si>
    <t>15. Disability access fund</t>
  </si>
  <si>
    <t>EY15a</t>
  </si>
  <si>
    <t>EY15b</t>
  </si>
  <si>
    <t>EY15c</t>
  </si>
  <si>
    <t>EY15d</t>
  </si>
  <si>
    <t>TOTAL FUNDING FOR EARLY YEARS DISABILITY ACCESS FUND:</t>
  </si>
  <si>
    <t>CHECK</t>
  </si>
  <si>
    <t>3 and 4 year olds</t>
  </si>
  <si>
    <t>2 yr old disad</t>
  </si>
  <si>
    <t>2 yr old working parents</t>
  </si>
  <si>
    <t>9 mth to 2 year old</t>
  </si>
  <si>
    <t>Total per allocation</t>
  </si>
  <si>
    <t>Allocation</t>
  </si>
  <si>
    <t>Diff</t>
  </si>
  <si>
    <t>S251 Budget 2024-25 - High Needs Places Table Report</t>
  </si>
  <si>
    <t>Special Educational Needs (SEN) Places</t>
  </si>
  <si>
    <t>SEN Place Funding</t>
  </si>
  <si>
    <t>Alternative Provision (AP) Places</t>
  </si>
  <si>
    <t>Hospital Education Places</t>
  </si>
  <si>
    <t xml:space="preserve">Total Place Funding </t>
  </si>
  <si>
    <t>School Name</t>
  </si>
  <si>
    <t>DfE Number</t>
  </si>
  <si>
    <t>Is School/Unit Opening/Closing In-Year?</t>
  </si>
  <si>
    <t>Date Opening Closing</t>
  </si>
  <si>
    <t>Type of Establishment</t>
  </si>
  <si>
    <t>April 2024 to August 2024</t>
  </si>
  <si>
    <t>September 2024 to March 2025</t>
  </si>
  <si>
    <t>April 2024 to March 2025</t>
  </si>
  <si>
    <t>Children's hospital school</t>
  </si>
  <si>
    <t>HSP</t>
  </si>
  <si>
    <t>Catherine Infant School</t>
  </si>
  <si>
    <t>Mainstream</t>
  </si>
  <si>
    <t>Rushey Mead Primary School</t>
  </si>
  <si>
    <t>Imperial Avenue Infant School</t>
  </si>
  <si>
    <t>Inglehurst Junior School</t>
  </si>
  <si>
    <t>King Richard III Infant School</t>
  </si>
  <si>
    <t>Shenton</t>
  </si>
  <si>
    <t>Stokes Wood</t>
  </si>
  <si>
    <t>Sandfield Cose Primary School</t>
  </si>
  <si>
    <t>Barley Croft Primary School</t>
  </si>
  <si>
    <t>Spinney Hill</t>
  </si>
  <si>
    <t>Fulhurst Community College</t>
  </si>
  <si>
    <t>Leicester City Primary PRU</t>
  </si>
  <si>
    <t>PRU</t>
  </si>
  <si>
    <t>Leicester Partnership School</t>
  </si>
  <si>
    <t>Nether Hall School</t>
  </si>
  <si>
    <t>Special</t>
  </si>
  <si>
    <t>Oaklands</t>
  </si>
  <si>
    <t>Ellesmere College</t>
  </si>
  <si>
    <t>West Gate</t>
  </si>
  <si>
    <t>Grand Total:</t>
  </si>
  <si>
    <t>SEN/
Special Schools</t>
  </si>
  <si>
    <t>AP/
PRUs</t>
  </si>
  <si>
    <t>Post
School</t>
  </si>
  <si>
    <t>AP
Place
Funding</t>
  </si>
  <si>
    <t>Hospital
Education
Place
Funding</t>
  </si>
  <si>
    <t>April 2024 to March 2025
(£)</t>
  </si>
  <si>
    <t>April 2024 to March 2025
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</si>
</sst>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809]\£#,##0.00"/>
    <numFmt numFmtId="165" formatCode="&quot;£&quot;#,##0.00"/>
    <numFmt numFmtId="166" formatCode="0.0%"/>
    <numFmt numFmtId="167" formatCode="\£#,##0.00"/>
    <numFmt numFmtId="168" formatCode="_(* #,##0.00_);_(* \(#,##0.00\);_(* &quot;-&quot;??_);_(@_)"/>
    <numFmt numFmtId="169" formatCode="&quot;£&quot;#,##0"/>
    <numFmt numFmtId="170" formatCode="\£#,##0"/>
    <numFmt numFmtId="171" formatCode="[$-10809]#,##0.00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4"/>
      <color rgb="FF104F75"/>
      <name val="Arial"/>
      <family val="2"/>
    </font>
    <font>
      <b/>
      <sz val="18"/>
      <color rgb="FF104F75"/>
      <name val="Arial"/>
      <family val="2"/>
    </font>
    <font>
      <b/>
      <sz val="16"/>
      <color rgb="FF104F75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6"/>
      <name val="Arial"/>
      <family val="2"/>
    </font>
    <font>
      <sz val="14"/>
      <color theme="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6"/>
      <color theme="0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b/>
      <sz val="16"/>
      <color theme="0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FDCE3"/>
        <bgColor rgb="FFCFDCE3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0" fontId="7" fillId="0" borderId="0"/>
  </cellStyleXfs>
  <cellXfs count="271">
    <xf numFmtId="0" fontId="2" fillId="0" borderId="0" xfId="0" applyFont="1"/>
    <xf numFmtId="0" fontId="3" fillId="0" borderId="0" xfId="0" applyFont="1" applyAlignment="1">
      <alignment vertical="center" wrapText="1" readingOrder="1"/>
    </xf>
    <xf numFmtId="0" fontId="2" fillId="0" borderId="0" xfId="0" applyFont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" fontId="9" fillId="6" borderId="2" xfId="1" applyNumberFormat="1" applyFont="1" applyFill="1" applyBorder="1" applyAlignment="1">
      <alignment horizontal="center" vertical="center" wrapText="1"/>
    </xf>
    <xf numFmtId="4" fontId="9" fillId="6" borderId="4" xfId="1" applyNumberFormat="1" applyFont="1" applyFill="1" applyBorder="1" applyAlignment="1">
      <alignment horizontal="center" vertical="center" wrapText="1"/>
    </xf>
    <xf numFmtId="4" fontId="9" fillId="6" borderId="5" xfId="1" applyNumberFormat="1" applyFont="1" applyFill="1" applyBorder="1" applyAlignment="1">
      <alignment horizontal="center" vertical="center" wrapText="1"/>
    </xf>
    <xf numFmtId="49" fontId="9" fillId="6" borderId="5" xfId="1" applyNumberFormat="1" applyFont="1" applyFill="1" applyBorder="1" applyAlignment="1">
      <alignment horizontal="center" vertical="center" wrapText="1"/>
    </xf>
    <xf numFmtId="165" fontId="9" fillId="6" borderId="6" xfId="1" applyNumberFormat="1" applyFont="1" applyFill="1" applyBorder="1" applyAlignment="1">
      <alignment horizontal="center" vertical="center" wrapText="1"/>
    </xf>
    <xf numFmtId="165" fontId="9" fillId="6" borderId="7" xfId="1" applyNumberFormat="1" applyFont="1" applyFill="1" applyBorder="1" applyAlignment="1">
      <alignment horizontal="center" vertical="center" wrapText="1"/>
    </xf>
    <xf numFmtId="165" fontId="9" fillId="6" borderId="8" xfId="1" applyNumberFormat="1" applyFont="1" applyFill="1" applyBorder="1" applyAlignment="1">
      <alignment horizontal="center" vertical="center" wrapText="1"/>
    </xf>
    <xf numFmtId="3" fontId="9" fillId="6" borderId="6" xfId="1" applyNumberFormat="1" applyFont="1" applyFill="1" applyBorder="1" applyAlignment="1">
      <alignment horizontal="center" vertical="center" wrapText="1"/>
    </xf>
    <xf numFmtId="3" fontId="9" fillId="6" borderId="7" xfId="1" applyNumberFormat="1" applyFont="1" applyFill="1" applyBorder="1" applyAlignment="1">
      <alignment horizontal="center" vertical="center" wrapText="1"/>
    </xf>
    <xf numFmtId="3" fontId="9" fillId="6" borderId="8" xfId="1" applyNumberFormat="1" applyFont="1" applyFill="1" applyBorder="1" applyAlignment="1">
      <alignment horizontal="center" vertical="center" wrapText="1"/>
    </xf>
    <xf numFmtId="4" fontId="9" fillId="6" borderId="9" xfId="1" applyNumberFormat="1" applyFont="1" applyFill="1" applyBorder="1" applyAlignment="1">
      <alignment horizontal="center" vertical="center" wrapText="1"/>
    </xf>
    <xf numFmtId="4" fontId="9" fillId="6" borderId="11" xfId="1" applyNumberFormat="1" applyFont="1" applyFill="1" applyBorder="1" applyAlignment="1">
      <alignment horizontal="center" vertical="center" wrapText="1"/>
    </xf>
    <xf numFmtId="4" fontId="9" fillId="6" borderId="12" xfId="1" applyNumberFormat="1" applyFont="1" applyFill="1" applyBorder="1" applyAlignment="1">
      <alignment horizontal="center" vertical="center" wrapText="1"/>
    </xf>
    <xf numFmtId="49" fontId="9" fillId="6" borderId="12" xfId="1" applyNumberFormat="1" applyFont="1" applyFill="1" applyBorder="1" applyAlignment="1">
      <alignment horizontal="center" vertical="center" wrapText="1"/>
    </xf>
    <xf numFmtId="165" fontId="9" fillId="6" borderId="13" xfId="1" applyNumberFormat="1" applyFont="1" applyFill="1" applyBorder="1" applyAlignment="1">
      <alignment horizontal="center" vertical="center" wrapText="1"/>
    </xf>
    <xf numFmtId="3" fontId="9" fillId="6" borderId="13" xfId="1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vertical="center"/>
    </xf>
    <xf numFmtId="49" fontId="8" fillId="4" borderId="0" xfId="1" applyNumberFormat="1" applyFont="1" applyFill="1" applyAlignment="1">
      <alignment vertical="center"/>
    </xf>
    <xf numFmtId="0" fontId="8" fillId="4" borderId="0" xfId="1" applyFont="1" applyFill="1" applyAlignment="1">
      <alignment horizontal="center" vertical="center"/>
    </xf>
    <xf numFmtId="4" fontId="7" fillId="4" borderId="0" xfId="1" applyNumberFormat="1" applyFont="1" applyFill="1" applyAlignment="1">
      <alignment vertical="center"/>
    </xf>
    <xf numFmtId="3" fontId="7" fillId="4" borderId="0" xfId="1" applyNumberFormat="1" applyFont="1" applyFill="1" applyAlignment="1">
      <alignment vertical="center"/>
    </xf>
    <xf numFmtId="49" fontId="7" fillId="4" borderId="0" xfId="1" applyNumberFormat="1" applyFont="1" applyFill="1" applyAlignment="1">
      <alignment vertical="center" wrapText="1"/>
    </xf>
    <xf numFmtId="165" fontId="7" fillId="4" borderId="0" xfId="1" applyNumberFormat="1" applyFont="1" applyFill="1" applyAlignment="1">
      <alignment vertical="center"/>
    </xf>
    <xf numFmtId="4" fontId="7" fillId="4" borderId="0" xfId="1" applyNumberFormat="1" applyFont="1" applyFill="1" applyAlignment="1">
      <alignment horizontal="center" vertical="center"/>
    </xf>
    <xf numFmtId="165" fontId="10" fillId="4" borderId="0" xfId="1" applyNumberFormat="1" applyFont="1" applyFill="1" applyAlignment="1">
      <alignment vertical="center"/>
    </xf>
    <xf numFmtId="0" fontId="8" fillId="5" borderId="19" xfId="1" applyFont="1" applyFill="1" applyBorder="1" applyAlignment="1">
      <alignment vertical="center"/>
    </xf>
    <xf numFmtId="0" fontId="8" fillId="5" borderId="20" xfId="1" applyFont="1" applyFill="1" applyBorder="1" applyAlignment="1">
      <alignment vertical="center"/>
    </xf>
    <xf numFmtId="165" fontId="8" fillId="5" borderId="21" xfId="1" applyNumberFormat="1" applyFont="1" applyFill="1" applyBorder="1" applyAlignment="1">
      <alignment vertical="center"/>
    </xf>
    <xf numFmtId="0" fontId="8" fillId="5" borderId="22" xfId="1" applyFont="1" applyFill="1" applyBorder="1" applyAlignment="1">
      <alignment vertical="center"/>
    </xf>
    <xf numFmtId="0" fontId="8" fillId="5" borderId="0" xfId="1" applyFont="1" applyFill="1" applyAlignment="1">
      <alignment vertical="center"/>
    </xf>
    <xf numFmtId="165" fontId="8" fillId="5" borderId="23" xfId="1" applyNumberFormat="1" applyFont="1" applyFill="1" applyBorder="1" applyAlignment="1">
      <alignment vertical="center"/>
    </xf>
    <xf numFmtId="0" fontId="8" fillId="5" borderId="23" xfId="1" applyFont="1" applyFill="1" applyBorder="1" applyAlignment="1">
      <alignment vertical="center"/>
    </xf>
    <xf numFmtId="3" fontId="8" fillId="5" borderId="23" xfId="1" applyNumberFormat="1" applyFont="1" applyFill="1" applyBorder="1" applyAlignment="1">
      <alignment vertical="center"/>
    </xf>
    <xf numFmtId="0" fontId="8" fillId="5" borderId="24" xfId="1" applyFont="1" applyFill="1" applyBorder="1" applyAlignment="1">
      <alignment vertical="center"/>
    </xf>
    <xf numFmtId="0" fontId="8" fillId="5" borderId="25" xfId="1" applyFont="1" applyFill="1" applyBorder="1" applyAlignment="1">
      <alignment vertical="center"/>
    </xf>
    <xf numFmtId="165" fontId="8" fillId="5" borderId="26" xfId="1" applyNumberFormat="1" applyFont="1" applyFill="1" applyBorder="1" applyAlignment="1">
      <alignment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3" fillId="15" borderId="0" xfId="0" applyFont="1" applyFill="1" applyAlignment="1">
      <alignment vertical="center" wrapText="1" readingOrder="1"/>
    </xf>
    <xf numFmtId="0" fontId="4" fillId="15" borderId="0" xfId="0" applyFont="1" applyFill="1" applyAlignment="1">
      <alignment vertical="center" wrapText="1" readingOrder="1"/>
    </xf>
    <xf numFmtId="0" fontId="12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49" fontId="14" fillId="4" borderId="0" xfId="1" applyNumberFormat="1" applyFont="1" applyFill="1" applyAlignment="1">
      <alignment vertical="center"/>
    </xf>
    <xf numFmtId="165" fontId="13" fillId="4" borderId="0" xfId="1" applyNumberFormat="1" applyFont="1" applyFill="1" applyAlignment="1">
      <alignment horizontal="right" vertical="center"/>
    </xf>
    <xf numFmtId="49" fontId="13" fillId="4" borderId="0" xfId="1" applyNumberFormat="1" applyFont="1" applyFill="1" applyAlignment="1">
      <alignment horizontal="right" vertical="center"/>
    </xf>
    <xf numFmtId="0" fontId="14" fillId="0" borderId="0" xfId="1" applyFont="1" applyAlignment="1">
      <alignment vertical="center"/>
    </xf>
    <xf numFmtId="165" fontId="13" fillId="4" borderId="0" xfId="1" applyNumberFormat="1" applyFont="1" applyFill="1" applyAlignment="1">
      <alignment horizontal="center" vertical="center"/>
    </xf>
    <xf numFmtId="169" fontId="13" fillId="0" borderId="0" xfId="2" applyNumberFormat="1" applyFont="1" applyFill="1" applyBorder="1" applyAlignment="1" applyProtection="1">
      <alignment horizontal="right" vertical="center"/>
    </xf>
    <xf numFmtId="0" fontId="15" fillId="4" borderId="0" xfId="1" applyFont="1" applyFill="1" applyAlignment="1">
      <alignment vertical="center"/>
    </xf>
    <xf numFmtId="4" fontId="16" fillId="6" borderId="2" xfId="1" applyNumberFormat="1" applyFont="1" applyFill="1" applyBorder="1" applyAlignment="1">
      <alignment horizontal="center" vertical="center" wrapText="1"/>
    </xf>
    <xf numFmtId="4" fontId="16" fillId="6" borderId="4" xfId="1" applyNumberFormat="1" applyFont="1" applyFill="1" applyBorder="1" applyAlignment="1">
      <alignment horizontal="center" vertical="center" wrapText="1"/>
    </xf>
    <xf numFmtId="4" fontId="16" fillId="6" borderId="5" xfId="1" applyNumberFormat="1" applyFont="1" applyFill="1" applyBorder="1" applyAlignment="1">
      <alignment horizontal="center" vertical="center" wrapText="1"/>
    </xf>
    <xf numFmtId="49" fontId="16" fillId="6" borderId="5" xfId="1" applyNumberFormat="1" applyFont="1" applyFill="1" applyBorder="1" applyAlignment="1">
      <alignment horizontal="center" vertical="center" wrapText="1"/>
    </xf>
    <xf numFmtId="165" fontId="16" fillId="6" borderId="6" xfId="1" applyNumberFormat="1" applyFont="1" applyFill="1" applyBorder="1" applyAlignment="1">
      <alignment horizontal="center" vertical="center" wrapText="1"/>
    </xf>
    <xf numFmtId="165" fontId="16" fillId="6" borderId="7" xfId="1" applyNumberFormat="1" applyFont="1" applyFill="1" applyBorder="1" applyAlignment="1">
      <alignment horizontal="center" vertical="center" wrapText="1"/>
    </xf>
    <xf numFmtId="165" fontId="16" fillId="6" borderId="8" xfId="1" applyNumberFormat="1" applyFont="1" applyFill="1" applyBorder="1" applyAlignment="1">
      <alignment horizontal="center" vertical="center" wrapText="1"/>
    </xf>
    <xf numFmtId="3" fontId="16" fillId="6" borderId="6" xfId="1" applyNumberFormat="1" applyFont="1" applyFill="1" applyBorder="1" applyAlignment="1">
      <alignment horizontal="center" vertical="center" wrapText="1"/>
    </xf>
    <xf numFmtId="3" fontId="16" fillId="6" borderId="7" xfId="1" applyNumberFormat="1" applyFont="1" applyFill="1" applyBorder="1" applyAlignment="1">
      <alignment horizontal="center" vertical="center" wrapText="1"/>
    </xf>
    <xf numFmtId="3" fontId="16" fillId="6" borderId="8" xfId="1" applyNumberFormat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/>
    </xf>
    <xf numFmtId="4" fontId="16" fillId="6" borderId="15" xfId="1" applyNumberFormat="1" applyFont="1" applyFill="1" applyBorder="1" applyAlignment="1">
      <alignment horizontal="center" vertical="center" wrapText="1"/>
    </xf>
    <xf numFmtId="4" fontId="16" fillId="6" borderId="16" xfId="1" applyNumberFormat="1" applyFont="1" applyFill="1" applyBorder="1" applyAlignment="1">
      <alignment horizontal="center" vertical="center" wrapText="1"/>
    </xf>
    <xf numFmtId="4" fontId="16" fillId="6" borderId="12" xfId="1" applyNumberFormat="1" applyFont="1" applyFill="1" applyBorder="1" applyAlignment="1">
      <alignment horizontal="center" vertical="center" wrapText="1"/>
    </xf>
    <xf numFmtId="49" fontId="16" fillId="6" borderId="12" xfId="1" applyNumberFormat="1" applyFont="1" applyFill="1" applyBorder="1" applyAlignment="1">
      <alignment horizontal="center" vertical="center" wrapText="1"/>
    </xf>
    <xf numFmtId="165" fontId="16" fillId="6" borderId="13" xfId="1" applyNumberFormat="1" applyFont="1" applyFill="1" applyBorder="1" applyAlignment="1">
      <alignment horizontal="center" vertical="center" wrapText="1"/>
    </xf>
    <xf numFmtId="3" fontId="16" fillId="6" borderId="13" xfId="1" applyNumberFormat="1" applyFont="1" applyFill="1" applyBorder="1" applyAlignment="1">
      <alignment horizontal="center" vertical="center" wrapText="1"/>
    </xf>
    <xf numFmtId="0" fontId="15" fillId="0" borderId="0" xfId="1" applyFont="1"/>
    <xf numFmtId="4" fontId="16" fillId="0" borderId="6" xfId="1" applyNumberFormat="1" applyFont="1" applyBorder="1" applyAlignment="1">
      <alignment horizontal="left" vertical="center"/>
    </xf>
    <xf numFmtId="4" fontId="16" fillId="0" borderId="8" xfId="1" applyNumberFormat="1" applyFont="1" applyBorder="1" applyAlignment="1">
      <alignment horizontal="left" vertical="center"/>
    </xf>
    <xf numFmtId="3" fontId="18" fillId="0" borderId="13" xfId="1" applyNumberFormat="1" applyFont="1" applyBorder="1" applyAlignment="1">
      <alignment horizontal="center" vertical="center"/>
    </xf>
    <xf numFmtId="49" fontId="18" fillId="7" borderId="13" xfId="1" applyNumberFormat="1" applyFont="1" applyFill="1" applyBorder="1" applyAlignment="1" applyProtection="1">
      <alignment horizontal="left" vertical="center" wrapText="1"/>
      <protection locked="0"/>
    </xf>
    <xf numFmtId="167" fontId="18" fillId="9" borderId="13" xfId="1" applyNumberFormat="1" applyFont="1" applyFill="1" applyBorder="1" applyAlignment="1" applyProtection="1">
      <alignment horizontal="right" vertical="center"/>
      <protection locked="0"/>
    </xf>
    <xf numFmtId="167" fontId="18" fillId="7" borderId="13" xfId="1" applyNumberFormat="1" applyFont="1" applyFill="1" applyBorder="1" applyAlignment="1" applyProtection="1">
      <alignment horizontal="right" vertical="center"/>
      <protection locked="0"/>
    </xf>
    <xf numFmtId="49" fontId="18" fillId="9" borderId="13" xfId="1" applyNumberFormat="1" applyFont="1" applyFill="1" applyBorder="1" applyAlignment="1" applyProtection="1">
      <alignment horizontal="center" vertical="center"/>
      <protection locked="0"/>
    </xf>
    <xf numFmtId="4" fontId="18" fillId="9" borderId="13" xfId="1" applyNumberFormat="1" applyFont="1" applyFill="1" applyBorder="1" applyAlignment="1" applyProtection="1">
      <alignment horizontal="right" vertical="center" wrapText="1"/>
      <protection locked="0"/>
    </xf>
    <xf numFmtId="4" fontId="18" fillId="7" borderId="13" xfId="1" applyNumberFormat="1" applyFont="1" applyFill="1" applyBorder="1" applyAlignment="1" applyProtection="1">
      <alignment horizontal="right" vertical="center" wrapText="1"/>
      <protection locked="0"/>
    </xf>
    <xf numFmtId="169" fontId="18" fillId="10" borderId="13" xfId="2" applyNumberFormat="1" applyFont="1" applyFill="1" applyBorder="1" applyAlignment="1" applyProtection="1">
      <alignment horizontal="right" vertical="center" wrapText="1"/>
    </xf>
    <xf numFmtId="165" fontId="18" fillId="10" borderId="13" xfId="2" applyNumberFormat="1" applyFont="1" applyFill="1" applyBorder="1" applyAlignment="1" applyProtection="1">
      <alignment horizontal="right" vertical="center" wrapText="1"/>
    </xf>
    <xf numFmtId="165" fontId="18" fillId="8" borderId="13" xfId="2" applyNumberFormat="1" applyFont="1" applyFill="1" applyBorder="1" applyAlignment="1" applyProtection="1">
      <alignment horizontal="right" vertical="center" wrapText="1"/>
    </xf>
    <xf numFmtId="0" fontId="17" fillId="4" borderId="13" xfId="1" applyFont="1" applyFill="1" applyBorder="1" applyAlignment="1">
      <alignment vertical="center"/>
    </xf>
    <xf numFmtId="49" fontId="15" fillId="4" borderId="0" xfId="1" applyNumberFormat="1" applyFont="1" applyFill="1" applyAlignment="1">
      <alignment vertical="center"/>
    </xf>
    <xf numFmtId="0" fontId="17" fillId="4" borderId="0" xfId="1" applyFont="1" applyFill="1" applyAlignment="1">
      <alignment horizontal="center" vertical="center"/>
    </xf>
    <xf numFmtId="4" fontId="16" fillId="6" borderId="17" xfId="1" applyNumberFormat="1" applyFont="1" applyFill="1" applyBorder="1" applyAlignment="1">
      <alignment horizontal="center" vertical="center" wrapText="1"/>
    </xf>
    <xf numFmtId="165" fontId="16" fillId="6" borderId="5" xfId="1" applyNumberFormat="1" applyFont="1" applyFill="1" applyBorder="1" applyAlignment="1">
      <alignment horizontal="center" vertical="center" wrapText="1"/>
    </xf>
    <xf numFmtId="3" fontId="16" fillId="6" borderId="5" xfId="1" applyNumberFormat="1" applyFont="1" applyFill="1" applyBorder="1" applyAlignment="1">
      <alignment horizontal="center" vertical="center" wrapText="1"/>
    </xf>
    <xf numFmtId="3" fontId="16" fillId="6" borderId="3" xfId="1" applyNumberFormat="1" applyFont="1" applyFill="1" applyBorder="1" applyAlignment="1">
      <alignment horizontal="center" vertical="center"/>
    </xf>
    <xf numFmtId="0" fontId="19" fillId="0" borderId="6" xfId="1" applyFont="1" applyBorder="1" applyAlignment="1">
      <alignment wrapText="1"/>
    </xf>
    <xf numFmtId="0" fontId="19" fillId="0" borderId="7" xfId="1" applyFont="1" applyBorder="1" applyAlignment="1">
      <alignment wrapText="1"/>
    </xf>
    <xf numFmtId="0" fontId="19" fillId="0" borderId="8" xfId="1" applyFont="1" applyBorder="1" applyAlignment="1">
      <alignment wrapText="1"/>
    </xf>
    <xf numFmtId="49" fontId="16" fillId="0" borderId="7" xfId="1" applyNumberFormat="1" applyFont="1" applyBorder="1" applyAlignment="1">
      <alignment vertical="center" wrapText="1"/>
    </xf>
    <xf numFmtId="3" fontId="16" fillId="0" borderId="7" xfId="1" applyNumberFormat="1" applyFont="1" applyBorder="1" applyAlignment="1">
      <alignment vertical="center" wrapText="1"/>
    </xf>
    <xf numFmtId="3" fontId="16" fillId="0" borderId="8" xfId="1" applyNumberFormat="1" applyFont="1" applyBorder="1" applyAlignment="1">
      <alignment vertical="center" wrapText="1"/>
    </xf>
    <xf numFmtId="3" fontId="16" fillId="0" borderId="16" xfId="1" applyNumberFormat="1" applyFont="1" applyBorder="1" applyAlignment="1">
      <alignment vertical="center" wrapText="1"/>
    </xf>
    <xf numFmtId="4" fontId="16" fillId="0" borderId="12" xfId="1" applyNumberFormat="1" applyFont="1" applyBorder="1" applyAlignment="1">
      <alignment vertical="center" wrapText="1"/>
    </xf>
    <xf numFmtId="3" fontId="18" fillId="0" borderId="9" xfId="1" applyNumberFormat="1" applyFont="1" applyBorder="1" applyAlignment="1">
      <alignment horizontal="center" vertical="center"/>
    </xf>
    <xf numFmtId="49" fontId="18" fillId="7" borderId="12" xfId="3" applyNumberFormat="1" applyFont="1" applyFill="1" applyBorder="1" applyAlignment="1" applyProtection="1">
      <alignment horizontal="left" vertical="center" wrapText="1"/>
      <protection locked="0"/>
    </xf>
    <xf numFmtId="167" fontId="18" fillId="9" borderId="12" xfId="1" applyNumberFormat="1" applyFont="1" applyFill="1" applyBorder="1" applyAlignment="1" applyProtection="1">
      <alignment horizontal="right" vertical="center"/>
      <protection locked="0"/>
    </xf>
    <xf numFmtId="167" fontId="18" fillId="7" borderId="12" xfId="1" applyNumberFormat="1" applyFont="1" applyFill="1" applyBorder="1" applyAlignment="1" applyProtection="1">
      <alignment horizontal="right" vertical="center"/>
      <protection locked="0"/>
    </xf>
    <xf numFmtId="165" fontId="18" fillId="9" borderId="12" xfId="1" applyNumberFormat="1" applyFont="1" applyFill="1" applyBorder="1" applyAlignment="1" applyProtection="1">
      <alignment horizontal="right" vertical="center" wrapText="1"/>
      <protection locked="0"/>
    </xf>
    <xf numFmtId="49" fontId="18" fillId="7" borderId="13" xfId="1" applyNumberFormat="1" applyFont="1" applyFill="1" applyBorder="1" applyAlignment="1" applyProtection="1">
      <alignment horizontal="center" vertical="center"/>
      <protection locked="0"/>
    </xf>
    <xf numFmtId="4" fontId="18" fillId="9" borderId="12" xfId="2" applyNumberFormat="1" applyFont="1" applyFill="1" applyBorder="1" applyAlignment="1" applyProtection="1">
      <alignment vertical="center"/>
      <protection locked="0"/>
    </xf>
    <xf numFmtId="4" fontId="18" fillId="7" borderId="12" xfId="2" applyNumberFormat="1" applyFont="1" applyFill="1" applyBorder="1" applyAlignment="1" applyProtection="1">
      <alignment vertical="center"/>
      <protection locked="0"/>
    </xf>
    <xf numFmtId="3" fontId="18" fillId="11" borderId="10" xfId="2" applyNumberFormat="1" applyFont="1" applyFill="1" applyBorder="1" applyAlignment="1" applyProtection="1">
      <alignment vertical="center"/>
    </xf>
    <xf numFmtId="3" fontId="16" fillId="0" borderId="0" xfId="1" applyNumberFormat="1" applyFont="1" applyAlignment="1">
      <alignment vertical="center" wrapText="1"/>
    </xf>
    <xf numFmtId="4" fontId="16" fillId="0" borderId="13" xfId="1" applyNumberFormat="1" applyFont="1" applyBorder="1" applyAlignment="1">
      <alignment vertical="center" wrapText="1"/>
    </xf>
    <xf numFmtId="3" fontId="18" fillId="0" borderId="6" xfId="1" applyNumberFormat="1" applyFont="1" applyBorder="1" applyAlignment="1">
      <alignment horizontal="center" vertical="center"/>
    </xf>
    <xf numFmtId="4" fontId="18" fillId="0" borderId="13" xfId="1" applyNumberFormat="1" applyFont="1" applyBorder="1" applyAlignment="1" applyProtection="1">
      <alignment horizontal="left" vertical="center" wrapText="1"/>
      <protection locked="0"/>
    </xf>
    <xf numFmtId="165" fontId="18" fillId="7" borderId="13" xfId="1" applyNumberFormat="1" applyFont="1" applyFill="1" applyBorder="1" applyAlignment="1" applyProtection="1">
      <alignment horizontal="right" vertical="center"/>
      <protection locked="0"/>
    </xf>
    <xf numFmtId="165" fontId="18" fillId="9" borderId="13" xfId="1" applyNumberFormat="1" applyFont="1" applyFill="1" applyBorder="1" applyAlignment="1" applyProtection="1">
      <alignment horizontal="right" vertical="center" wrapText="1"/>
      <protection locked="0"/>
    </xf>
    <xf numFmtId="4" fontId="18" fillId="9" borderId="13" xfId="2" applyNumberFormat="1" applyFont="1" applyFill="1" applyBorder="1" applyAlignment="1" applyProtection="1">
      <alignment vertical="center"/>
      <protection locked="0"/>
    </xf>
    <xf numFmtId="4" fontId="18" fillId="4" borderId="13" xfId="2" applyNumberFormat="1" applyFont="1" applyFill="1" applyBorder="1" applyAlignment="1" applyProtection="1">
      <alignment vertical="center"/>
      <protection locked="0"/>
    </xf>
    <xf numFmtId="165" fontId="18" fillId="7" borderId="13" xfId="1" applyNumberFormat="1" applyFont="1" applyFill="1" applyBorder="1" applyAlignment="1" applyProtection="1">
      <alignment horizontal="right" vertical="center" wrapText="1"/>
      <protection locked="0"/>
    </xf>
    <xf numFmtId="4" fontId="18" fillId="7" borderId="13" xfId="2" applyNumberFormat="1" applyFont="1" applyFill="1" applyBorder="1" applyAlignment="1" applyProtection="1">
      <alignment vertical="center"/>
      <protection locked="0"/>
    </xf>
    <xf numFmtId="3" fontId="18" fillId="11" borderId="7" xfId="2" applyNumberFormat="1" applyFont="1" applyFill="1" applyBorder="1" applyAlignment="1" applyProtection="1">
      <alignment vertical="center"/>
    </xf>
    <xf numFmtId="165" fontId="16" fillId="4" borderId="0" xfId="1" applyNumberFormat="1" applyFont="1" applyFill="1" applyAlignment="1">
      <alignment vertical="center"/>
    </xf>
    <xf numFmtId="49" fontId="16" fillId="4" borderId="0" xfId="1" applyNumberFormat="1" applyFont="1" applyFill="1" applyAlignment="1">
      <alignment vertical="center"/>
    </xf>
    <xf numFmtId="0" fontId="19" fillId="0" borderId="0" xfId="1" applyFont="1" applyAlignment="1">
      <alignment horizontal="right" vertical="center"/>
    </xf>
    <xf numFmtId="166" fontId="16" fillId="8" borderId="14" xfId="1" applyNumberFormat="1" applyFont="1" applyFill="1" applyBorder="1" applyAlignment="1">
      <alignment horizontal="right" vertical="center" wrapText="1"/>
    </xf>
    <xf numFmtId="49" fontId="17" fillId="4" borderId="0" xfId="1" applyNumberFormat="1" applyFont="1" applyFill="1" applyAlignment="1">
      <alignment vertical="center"/>
    </xf>
    <xf numFmtId="4" fontId="16" fillId="6" borderId="18" xfId="1" applyNumberFormat="1" applyFont="1" applyFill="1" applyBorder="1" applyAlignment="1">
      <alignment horizontal="center" vertical="center" wrapText="1"/>
    </xf>
    <xf numFmtId="4" fontId="16" fillId="6" borderId="8" xfId="1" applyNumberFormat="1" applyFont="1" applyFill="1" applyBorder="1" applyAlignment="1">
      <alignment horizontal="center" vertical="center" wrapText="1"/>
    </xf>
    <xf numFmtId="3" fontId="18" fillId="6" borderId="6" xfId="1" applyNumberFormat="1" applyFont="1" applyFill="1" applyBorder="1" applyAlignment="1">
      <alignment horizontal="center" vertical="center"/>
    </xf>
    <xf numFmtId="49" fontId="16" fillId="6" borderId="5" xfId="1" applyNumberFormat="1" applyFont="1" applyFill="1" applyBorder="1" applyAlignment="1">
      <alignment horizontal="center" vertical="center" wrapText="1"/>
    </xf>
    <xf numFmtId="165" fontId="16" fillId="6" borderId="7" xfId="1" applyNumberFormat="1" applyFont="1" applyFill="1" applyBorder="1" applyAlignment="1">
      <alignment horizontal="center" vertical="center" wrapText="1"/>
    </xf>
    <xf numFmtId="4" fontId="16" fillId="6" borderId="13" xfId="1" applyNumberFormat="1" applyFont="1" applyFill="1" applyBorder="1" applyAlignment="1">
      <alignment horizontal="center" vertical="center" wrapText="1"/>
    </xf>
    <xf numFmtId="3" fontId="16" fillId="6" borderId="7" xfId="1" applyNumberFormat="1" applyFont="1" applyFill="1" applyBorder="1" applyAlignment="1">
      <alignment horizontal="center" vertical="center" wrapText="1"/>
    </xf>
    <xf numFmtId="3" fontId="16" fillId="6" borderId="6" xfId="1" applyNumberFormat="1" applyFont="1" applyFill="1" applyBorder="1" applyAlignment="1">
      <alignment horizontal="center" vertical="center"/>
    </xf>
    <xf numFmtId="3" fontId="16" fillId="6" borderId="7" xfId="1" applyNumberFormat="1" applyFont="1" applyFill="1" applyBorder="1" applyAlignment="1">
      <alignment horizontal="center" vertical="center"/>
    </xf>
    <xf numFmtId="3" fontId="16" fillId="6" borderId="8" xfId="1" applyNumberFormat="1" applyFont="1" applyFill="1" applyBorder="1" applyAlignment="1">
      <alignment horizontal="center" vertical="center"/>
    </xf>
    <xf numFmtId="0" fontId="19" fillId="0" borderId="6" xfId="1" applyFont="1" applyBorder="1" applyAlignment="1">
      <alignment horizontal="left" vertical="center"/>
    </xf>
    <xf numFmtId="0" fontId="19" fillId="0" borderId="8" xfId="1" applyFont="1" applyBorder="1" applyAlignment="1">
      <alignment horizontal="left" vertical="center"/>
    </xf>
    <xf numFmtId="165" fontId="18" fillId="11" borderId="10" xfId="2" applyNumberFormat="1" applyFont="1" applyFill="1" applyBorder="1" applyAlignment="1" applyProtection="1">
      <alignment vertical="center"/>
    </xf>
    <xf numFmtId="165" fontId="18" fillId="11" borderId="10" xfId="1" applyNumberFormat="1" applyFont="1" applyFill="1" applyBorder="1" applyAlignment="1">
      <alignment vertical="center" wrapText="1"/>
    </xf>
    <xf numFmtId="3" fontId="18" fillId="11" borderId="7" xfId="2" applyNumberFormat="1" applyFont="1" applyFill="1" applyBorder="1" applyAlignment="1" applyProtection="1">
      <alignment horizontal="center" vertical="center"/>
    </xf>
    <xf numFmtId="3" fontId="18" fillId="11" borderId="13" xfId="1" applyNumberFormat="1" applyFont="1" applyFill="1" applyBorder="1" applyAlignment="1">
      <alignment horizontal="center" vertical="center"/>
    </xf>
    <xf numFmtId="169" fontId="18" fillId="11" borderId="13" xfId="1" applyNumberFormat="1" applyFont="1" applyFill="1" applyBorder="1" applyAlignment="1">
      <alignment vertical="center" wrapText="1"/>
    </xf>
    <xf numFmtId="4" fontId="16" fillId="4" borderId="0" xfId="1" applyNumberFormat="1" applyFont="1" applyFill="1" applyAlignment="1">
      <alignment vertical="center" wrapText="1"/>
    </xf>
    <xf numFmtId="4" fontId="20" fillId="4" borderId="0" xfId="1" applyNumberFormat="1" applyFont="1" applyFill="1" applyAlignment="1">
      <alignment vertical="center" wrapText="1"/>
    </xf>
    <xf numFmtId="49" fontId="20" fillId="4" borderId="0" xfId="1" applyNumberFormat="1" applyFont="1" applyFill="1" applyAlignment="1">
      <alignment vertical="center" wrapText="1"/>
    </xf>
    <xf numFmtId="4" fontId="16" fillId="4" borderId="0" xfId="1" applyNumberFormat="1" applyFont="1" applyFill="1" applyAlignment="1">
      <alignment horizontal="center" vertical="center" wrapText="1"/>
    </xf>
    <xf numFmtId="4" fontId="16" fillId="4" borderId="0" xfId="1" applyNumberFormat="1" applyFont="1" applyFill="1" applyAlignment="1">
      <alignment horizontal="right" vertical="center"/>
    </xf>
    <xf numFmtId="165" fontId="16" fillId="8" borderId="14" xfId="2" applyNumberFormat="1" applyFont="1" applyFill="1" applyBorder="1" applyAlignment="1" applyProtection="1">
      <alignment horizontal="right" vertical="center" wrapText="1"/>
    </xf>
    <xf numFmtId="3" fontId="16" fillId="6" borderId="6" xfId="1" applyNumberFormat="1" applyFont="1" applyFill="1" applyBorder="1" applyAlignment="1">
      <alignment horizontal="center" vertical="center" wrapText="1"/>
    </xf>
    <xf numFmtId="3" fontId="16" fillId="6" borderId="8" xfId="1" applyNumberFormat="1" applyFont="1" applyFill="1" applyBorder="1" applyAlignment="1">
      <alignment horizontal="center" vertical="center" wrapText="1"/>
    </xf>
    <xf numFmtId="4" fontId="16" fillId="6" borderId="9" xfId="1" applyNumberFormat="1" applyFont="1" applyFill="1" applyBorder="1" applyAlignment="1">
      <alignment horizontal="center" vertical="center" wrapText="1"/>
    </xf>
    <xf numFmtId="4" fontId="16" fillId="6" borderId="11" xfId="1" applyNumberFormat="1" applyFont="1" applyFill="1" applyBorder="1" applyAlignment="1">
      <alignment horizontal="center" vertical="center" wrapText="1"/>
    </xf>
    <xf numFmtId="165" fontId="16" fillId="6" borderId="8" xfId="1" applyNumberFormat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vertical="center"/>
    </xf>
    <xf numFmtId="165" fontId="18" fillId="12" borderId="13" xfId="1" applyNumberFormat="1" applyFont="1" applyFill="1" applyBorder="1" applyAlignment="1" applyProtection="1">
      <alignment horizontal="right" vertical="center"/>
      <protection locked="0"/>
    </xf>
    <xf numFmtId="49" fontId="18" fillId="12" borderId="13" xfId="1" applyNumberFormat="1" applyFont="1" applyFill="1" applyBorder="1" applyAlignment="1" applyProtection="1">
      <alignment horizontal="center" vertical="center"/>
      <protection locked="0"/>
    </xf>
    <xf numFmtId="4" fontId="18" fillId="12" borderId="13" xfId="2" applyNumberFormat="1" applyFont="1" applyFill="1" applyBorder="1" applyAlignment="1" applyProtection="1">
      <alignment horizontal="right" vertical="center"/>
      <protection locked="0"/>
    </xf>
    <xf numFmtId="4" fontId="18" fillId="4" borderId="13" xfId="2" applyNumberFormat="1" applyFont="1" applyFill="1" applyBorder="1" applyAlignment="1" applyProtection="1">
      <alignment horizontal="right" vertical="center"/>
      <protection locked="0"/>
    </xf>
    <xf numFmtId="4" fontId="18" fillId="7" borderId="13" xfId="2" applyNumberFormat="1" applyFont="1" applyFill="1" applyBorder="1" applyAlignment="1" applyProtection="1">
      <alignment horizontal="right" vertical="center"/>
      <protection locked="0"/>
    </xf>
    <xf numFmtId="167" fontId="18" fillId="12" borderId="12" xfId="1" applyNumberFormat="1" applyFont="1" applyFill="1" applyBorder="1" applyAlignment="1" applyProtection="1">
      <alignment horizontal="right" vertical="center"/>
      <protection locked="0"/>
    </xf>
    <xf numFmtId="165" fontId="18" fillId="12" borderId="12" xfId="1" applyNumberFormat="1" applyFont="1" applyFill="1" applyBorder="1" applyAlignment="1" applyProtection="1">
      <alignment horizontal="right" vertical="center" wrapText="1"/>
      <protection locked="0"/>
    </xf>
    <xf numFmtId="4" fontId="18" fillId="12" borderId="12" xfId="2" applyNumberFormat="1" applyFont="1" applyFill="1" applyBorder="1" applyAlignment="1" applyProtection="1">
      <alignment vertical="center"/>
      <protection locked="0"/>
    </xf>
    <xf numFmtId="167" fontId="18" fillId="12" borderId="13" xfId="1" applyNumberFormat="1" applyFont="1" applyFill="1" applyBorder="1" applyAlignment="1" applyProtection="1">
      <alignment horizontal="right" vertical="center"/>
      <protection locked="0"/>
    </xf>
    <xf numFmtId="165" fontId="18" fillId="12" borderId="13" xfId="1" applyNumberFormat="1" applyFont="1" applyFill="1" applyBorder="1" applyAlignment="1" applyProtection="1">
      <alignment horizontal="right" vertical="center" wrapText="1"/>
      <protection locked="0"/>
    </xf>
    <xf numFmtId="4" fontId="18" fillId="12" borderId="13" xfId="2" applyNumberFormat="1" applyFont="1" applyFill="1" applyBorder="1" applyAlignment="1" applyProtection="1">
      <alignment vertical="center"/>
      <protection locked="0"/>
    </xf>
    <xf numFmtId="4" fontId="16" fillId="6" borderId="13" xfId="1" applyNumberFormat="1" applyFont="1" applyFill="1" applyBorder="1" applyAlignment="1">
      <alignment horizontal="center" vertical="center" wrapText="1"/>
    </xf>
    <xf numFmtId="49" fontId="16" fillId="6" borderId="13" xfId="1" applyNumberFormat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center" wrapText="1"/>
    </xf>
    <xf numFmtId="3" fontId="18" fillId="11" borderId="6" xfId="1" applyNumberFormat="1" applyFont="1" applyFill="1" applyBorder="1" applyAlignment="1">
      <alignment horizontal="center" vertical="center"/>
    </xf>
    <xf numFmtId="3" fontId="18" fillId="11" borderId="7" xfId="1" applyNumberFormat="1" applyFont="1" applyFill="1" applyBorder="1" applyAlignment="1">
      <alignment horizontal="center" vertical="center"/>
    </xf>
    <xf numFmtId="3" fontId="18" fillId="11" borderId="8" xfId="1" applyNumberFormat="1" applyFont="1" applyFill="1" applyBorder="1" applyAlignment="1">
      <alignment horizontal="center" vertical="center"/>
    </xf>
    <xf numFmtId="165" fontId="18" fillId="0" borderId="13" xfId="1" applyNumberFormat="1" applyFont="1" applyBorder="1" applyAlignment="1" applyProtection="1">
      <alignment vertical="center" wrapText="1"/>
      <protection locked="0"/>
    </xf>
    <xf numFmtId="165" fontId="18" fillId="0" borderId="13" xfId="2" applyNumberFormat="1" applyFont="1" applyFill="1" applyBorder="1" applyAlignment="1" applyProtection="1">
      <alignment horizontal="right" vertical="center" wrapText="1"/>
      <protection locked="0"/>
    </xf>
    <xf numFmtId="165" fontId="16" fillId="4" borderId="0" xfId="1" applyNumberFormat="1" applyFont="1" applyFill="1" applyAlignment="1">
      <alignment horizontal="right" vertical="center"/>
    </xf>
    <xf numFmtId="49" fontId="16" fillId="4" borderId="0" xfId="1" applyNumberFormat="1" applyFont="1" applyFill="1" applyAlignment="1">
      <alignment horizontal="right" vertical="center"/>
    </xf>
    <xf numFmtId="3" fontId="18" fillId="11" borderId="13" xfId="2" applyNumberFormat="1" applyFont="1" applyFill="1" applyBorder="1" applyAlignment="1" applyProtection="1">
      <alignment horizontal="right" vertical="center"/>
    </xf>
    <xf numFmtId="4" fontId="16" fillId="6" borderId="2" xfId="1" applyNumberFormat="1" applyFont="1" applyFill="1" applyBorder="1" applyAlignment="1">
      <alignment horizontal="left" vertical="center" wrapText="1"/>
    </xf>
    <xf numFmtId="4" fontId="16" fillId="6" borderId="4" xfId="1" applyNumberFormat="1" applyFont="1" applyFill="1" applyBorder="1" applyAlignment="1">
      <alignment horizontal="left" vertical="center" wrapText="1"/>
    </xf>
    <xf numFmtId="4" fontId="16" fillId="6" borderId="2" xfId="2" applyNumberFormat="1" applyFont="1" applyFill="1" applyBorder="1" applyAlignment="1" applyProtection="1">
      <alignment horizontal="center" vertical="center" wrapText="1"/>
    </xf>
    <xf numFmtId="4" fontId="16" fillId="6" borderId="3" xfId="2" applyNumberFormat="1" applyFont="1" applyFill="1" applyBorder="1" applyAlignment="1" applyProtection="1">
      <alignment horizontal="center" vertical="center" wrapText="1"/>
    </xf>
    <xf numFmtId="4" fontId="16" fillId="6" borderId="4" xfId="2" applyNumberFormat="1" applyFont="1" applyFill="1" applyBorder="1" applyAlignment="1" applyProtection="1">
      <alignment horizontal="center" vertical="center" wrapText="1"/>
    </xf>
    <xf numFmtId="4" fontId="16" fillId="6" borderId="9" xfId="1" applyNumberFormat="1" applyFont="1" applyFill="1" applyBorder="1" applyAlignment="1">
      <alignment horizontal="left" vertical="center" wrapText="1"/>
    </xf>
    <xf numFmtId="4" fontId="16" fillId="6" borderId="11" xfId="1" applyNumberFormat="1" applyFont="1" applyFill="1" applyBorder="1" applyAlignment="1">
      <alignment horizontal="left" vertical="center" wrapText="1"/>
    </xf>
    <xf numFmtId="4" fontId="16" fillId="6" borderId="15" xfId="2" applyNumberFormat="1" applyFont="1" applyFill="1" applyBorder="1" applyAlignment="1" applyProtection="1">
      <alignment horizontal="center" vertical="center" wrapText="1"/>
    </xf>
    <xf numFmtId="4" fontId="16" fillId="6" borderId="0" xfId="2" applyNumberFormat="1" applyFont="1" applyFill="1" applyBorder="1" applyAlignment="1" applyProtection="1">
      <alignment horizontal="center" vertical="center" wrapText="1"/>
    </xf>
    <xf numFmtId="4" fontId="16" fillId="6" borderId="16" xfId="2" applyNumberFormat="1" applyFont="1" applyFill="1" applyBorder="1" applyAlignment="1" applyProtection="1">
      <alignment horizontal="center" vertical="center" wrapText="1"/>
    </xf>
    <xf numFmtId="4" fontId="16" fillId="0" borderId="6" xfId="1" applyNumberFormat="1" applyFont="1" applyBorder="1" applyAlignment="1">
      <alignment horizontal="left" vertical="center"/>
    </xf>
    <xf numFmtId="4" fontId="16" fillId="0" borderId="7" xfId="1" applyNumberFormat="1" applyFont="1" applyBorder="1" applyAlignment="1">
      <alignment horizontal="left" vertical="center"/>
    </xf>
    <xf numFmtId="4" fontId="16" fillId="0" borderId="7" xfId="2" applyNumberFormat="1" applyFont="1" applyFill="1" applyBorder="1" applyAlignment="1" applyProtection="1">
      <alignment horizontal="center" vertical="center" wrapText="1"/>
    </xf>
    <xf numFmtId="49" fontId="16" fillId="0" borderId="7" xfId="2" applyNumberFormat="1" applyFont="1" applyFill="1" applyBorder="1" applyAlignment="1" applyProtection="1">
      <alignment horizontal="center" vertical="center" wrapText="1"/>
    </xf>
    <xf numFmtId="165" fontId="16" fillId="0" borderId="7" xfId="1" applyNumberFormat="1" applyFont="1" applyBorder="1" applyAlignment="1">
      <alignment horizontal="center" vertical="center" wrapText="1"/>
    </xf>
    <xf numFmtId="4" fontId="16" fillId="0" borderId="8" xfId="1" applyNumberFormat="1" applyFont="1" applyBorder="1" applyAlignment="1">
      <alignment horizontal="center" vertical="center"/>
    </xf>
    <xf numFmtId="4" fontId="16" fillId="0" borderId="16" xfId="1" applyNumberFormat="1" applyFont="1" applyBorder="1" applyAlignment="1">
      <alignment horizontal="left" vertical="center" wrapText="1"/>
    </xf>
    <xf numFmtId="4" fontId="16" fillId="0" borderId="11" xfId="1" applyNumberFormat="1" applyFont="1" applyBorder="1" applyAlignment="1">
      <alignment vertical="center" wrapText="1"/>
    </xf>
    <xf numFmtId="0" fontId="18" fillId="0" borderId="12" xfId="1" applyFont="1" applyBorder="1" applyAlignment="1">
      <alignment horizontal="center" vertical="center" wrapText="1"/>
    </xf>
    <xf numFmtId="49" fontId="18" fillId="7" borderId="6" xfId="2" applyNumberFormat="1" applyFont="1" applyFill="1" applyBorder="1" applyAlignment="1" applyProtection="1">
      <alignment horizontal="left" vertical="center"/>
      <protection locked="0"/>
    </xf>
    <xf numFmtId="167" fontId="18" fillId="7" borderId="7" xfId="2" applyNumberFormat="1" applyFont="1" applyFill="1" applyBorder="1" applyAlignment="1" applyProtection="1">
      <alignment horizontal="left" vertical="center"/>
      <protection locked="0"/>
    </xf>
    <xf numFmtId="49" fontId="18" fillId="13" borderId="7" xfId="2" applyNumberFormat="1" applyFont="1" applyFill="1" applyBorder="1" applyAlignment="1" applyProtection="1">
      <alignment horizontal="left" vertical="center"/>
      <protection locked="0"/>
    </xf>
    <xf numFmtId="4" fontId="18" fillId="13" borderId="7" xfId="2" applyNumberFormat="1" applyFont="1" applyFill="1" applyBorder="1" applyAlignment="1" applyProtection="1">
      <alignment horizontal="left" vertical="center"/>
      <protection locked="0"/>
    </xf>
    <xf numFmtId="4" fontId="18" fillId="13" borderId="8" xfId="2" applyNumberFormat="1" applyFont="1" applyFill="1" applyBorder="1" applyAlignment="1" applyProtection="1">
      <alignment horizontal="left" vertical="center"/>
      <protection locked="0"/>
    </xf>
    <xf numFmtId="167" fontId="18" fillId="9" borderId="12" xfId="2" applyNumberFormat="1" applyFont="1" applyFill="1" applyBorder="1" applyAlignment="1" applyProtection="1">
      <alignment horizontal="right" vertical="center" wrapText="1"/>
      <protection locked="0"/>
    </xf>
    <xf numFmtId="165" fontId="18" fillId="7" borderId="12" xfId="2" applyNumberFormat="1" applyFont="1" applyFill="1" applyBorder="1" applyAlignment="1" applyProtection="1">
      <alignment horizontal="right" vertical="center" wrapText="1"/>
      <protection locked="0"/>
    </xf>
    <xf numFmtId="165" fontId="18" fillId="9" borderId="12" xfId="2" applyNumberFormat="1" applyFont="1" applyFill="1" applyBorder="1" applyAlignment="1" applyProtection="1">
      <alignment horizontal="right" vertical="center" wrapText="1"/>
      <protection locked="0"/>
    </xf>
    <xf numFmtId="0" fontId="17" fillId="4" borderId="6" xfId="1" applyFont="1" applyFill="1" applyBorder="1" applyAlignment="1">
      <alignment horizontal="left" vertical="center"/>
    </xf>
    <xf numFmtId="0" fontId="17" fillId="4" borderId="7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horizontal="left" vertical="center"/>
    </xf>
    <xf numFmtId="4" fontId="16" fillId="0" borderId="4" xfId="1" applyNumberFormat="1" applyFont="1" applyBorder="1" applyAlignment="1">
      <alignment vertical="center" wrapText="1"/>
    </xf>
    <xf numFmtId="0" fontId="18" fillId="0" borderId="5" xfId="1" applyFont="1" applyBorder="1" applyAlignment="1">
      <alignment horizontal="center" vertical="center" wrapText="1"/>
    </xf>
    <xf numFmtId="165" fontId="18" fillId="7" borderId="5" xfId="2" applyNumberFormat="1" applyFont="1" applyFill="1" applyBorder="1" applyAlignment="1" applyProtection="1">
      <alignment horizontal="right" vertical="center" wrapText="1"/>
      <protection locked="0"/>
    </xf>
    <xf numFmtId="4" fontId="16" fillId="0" borderId="7" xfId="1" applyNumberFormat="1" applyFont="1" applyBorder="1" applyAlignment="1">
      <alignment vertical="center" wrapText="1"/>
    </xf>
    <xf numFmtId="0" fontId="18" fillId="0" borderId="7" xfId="1" applyFont="1" applyBorder="1" applyAlignment="1">
      <alignment horizontal="center" vertical="center" wrapText="1"/>
    </xf>
    <xf numFmtId="49" fontId="18" fillId="7" borderId="7" xfId="2" applyNumberFormat="1" applyFont="1" applyFill="1" applyBorder="1" applyAlignment="1" applyProtection="1">
      <alignment horizontal="left" vertical="center"/>
      <protection locked="0"/>
    </xf>
    <xf numFmtId="49" fontId="21" fillId="4" borderId="7" xfId="2" applyNumberFormat="1" applyFont="1" applyFill="1" applyBorder="1" applyAlignment="1" applyProtection="1">
      <alignment horizontal="center" vertical="center"/>
    </xf>
    <xf numFmtId="170" fontId="18" fillId="7" borderId="7" xfId="2" applyNumberFormat="1" applyFont="1" applyFill="1" applyBorder="1" applyAlignment="1" applyProtection="1">
      <alignment horizontal="right" vertical="center" wrapText="1"/>
      <protection locked="0"/>
    </xf>
    <xf numFmtId="169" fontId="18" fillId="0" borderId="8" xfId="2" applyNumberFormat="1" applyFont="1" applyFill="1" applyBorder="1" applyAlignment="1" applyProtection="1">
      <alignment horizontal="right" vertical="center" wrapText="1"/>
    </xf>
    <xf numFmtId="165" fontId="18" fillId="12" borderId="12" xfId="2" applyNumberFormat="1" applyFont="1" applyFill="1" applyBorder="1" applyAlignment="1" applyProtection="1">
      <alignment horizontal="right" vertical="center" wrapText="1"/>
      <protection locked="0"/>
    </xf>
    <xf numFmtId="0" fontId="18" fillId="0" borderId="13" xfId="1" applyFont="1" applyBorder="1" applyAlignment="1">
      <alignment horizontal="center" vertical="center" wrapText="1"/>
    </xf>
    <xf numFmtId="165" fontId="18" fillId="7" borderId="13" xfId="2" applyNumberFormat="1" applyFont="1" applyFill="1" applyBorder="1" applyAlignment="1" applyProtection="1">
      <alignment horizontal="right" vertical="center" wrapText="1"/>
      <protection locked="0"/>
    </xf>
    <xf numFmtId="4" fontId="16" fillId="6" borderId="6" xfId="2" applyNumberFormat="1" applyFont="1" applyFill="1" applyBorder="1" applyAlignment="1" applyProtection="1">
      <alignment horizontal="center" vertical="center" wrapText="1"/>
    </xf>
    <xf numFmtId="4" fontId="16" fillId="6" borderId="7" xfId="2" applyNumberFormat="1" applyFont="1" applyFill="1" applyBorder="1" applyAlignment="1" applyProtection="1">
      <alignment horizontal="center" vertical="center" wrapText="1"/>
    </xf>
    <xf numFmtId="4" fontId="16" fillId="6" borderId="8" xfId="2" applyNumberFormat="1" applyFont="1" applyFill="1" applyBorder="1" applyAlignment="1" applyProtection="1">
      <alignment horizontal="center" vertical="center" wrapText="1"/>
    </xf>
    <xf numFmtId="4" fontId="16" fillId="6" borderId="6" xfId="1" applyNumberFormat="1" applyFont="1" applyFill="1" applyBorder="1" applyAlignment="1">
      <alignment horizontal="center" vertical="center" wrapText="1"/>
    </xf>
    <xf numFmtId="4" fontId="16" fillId="6" borderId="7" xfId="1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right" vertical="center"/>
    </xf>
    <xf numFmtId="49" fontId="18" fillId="7" borderId="7" xfId="2" applyNumberFormat="1" applyFont="1" applyFill="1" applyBorder="1" applyAlignment="1" applyProtection="1">
      <alignment horizontal="left" vertical="center"/>
      <protection locked="0"/>
    </xf>
    <xf numFmtId="4" fontId="18" fillId="7" borderId="7" xfId="2" applyNumberFormat="1" applyFont="1" applyFill="1" applyBorder="1" applyAlignment="1" applyProtection="1">
      <alignment horizontal="left" vertical="center"/>
      <protection locked="0"/>
    </xf>
    <xf numFmtId="4" fontId="18" fillId="7" borderId="8" xfId="2" applyNumberFormat="1" applyFont="1" applyFill="1" applyBorder="1" applyAlignment="1" applyProtection="1">
      <alignment horizontal="left" vertical="center"/>
      <protection locked="0"/>
    </xf>
    <xf numFmtId="3" fontId="16" fillId="14" borderId="10" xfId="1" applyNumberFormat="1" applyFont="1" applyFill="1" applyBorder="1" applyAlignment="1">
      <alignment vertical="center"/>
    </xf>
    <xf numFmtId="165" fontId="18" fillId="9" borderId="13" xfId="1" applyNumberFormat="1" applyFont="1" applyFill="1" applyBorder="1" applyAlignment="1" applyProtection="1">
      <alignment horizontal="right" vertical="center"/>
      <protection locked="0"/>
    </xf>
    <xf numFmtId="0" fontId="18" fillId="0" borderId="13" xfId="1" applyFont="1" applyBorder="1" applyAlignment="1">
      <alignment horizontal="center" vertical="center"/>
    </xf>
    <xf numFmtId="4" fontId="16" fillId="6" borderId="13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4" fontId="21" fillId="6" borderId="6" xfId="2" applyNumberFormat="1" applyFont="1" applyFill="1" applyBorder="1" applyAlignment="1" applyProtection="1">
      <alignment horizontal="center" vertical="center" wrapText="1"/>
    </xf>
    <xf numFmtId="4" fontId="21" fillId="6" borderId="7" xfId="2" applyNumberFormat="1" applyFont="1" applyFill="1" applyBorder="1" applyAlignment="1" applyProtection="1">
      <alignment horizontal="center" vertical="center" wrapText="1"/>
    </xf>
    <xf numFmtId="4" fontId="21" fillId="6" borderId="8" xfId="2" applyNumberFormat="1" applyFont="1" applyFill="1" applyBorder="1" applyAlignment="1" applyProtection="1">
      <alignment horizontal="center" vertical="center" wrapText="1"/>
    </xf>
    <xf numFmtId="4" fontId="16" fillId="0" borderId="8" xfId="1" applyNumberFormat="1" applyFont="1" applyBorder="1" applyAlignment="1">
      <alignment horizontal="left" vertical="center"/>
    </xf>
    <xf numFmtId="4" fontId="16" fillId="14" borderId="7" xfId="2" applyNumberFormat="1" applyFont="1" applyFill="1" applyBorder="1" applyAlignment="1" applyProtection="1">
      <alignment horizontal="centerContinuous" vertical="center" wrapText="1"/>
    </xf>
    <xf numFmtId="49" fontId="16" fillId="14" borderId="7" xfId="2" applyNumberFormat="1" applyFont="1" applyFill="1" applyBorder="1" applyAlignment="1" applyProtection="1">
      <alignment horizontal="centerContinuous" vertical="center" wrapText="1"/>
    </xf>
    <xf numFmtId="4" fontId="16" fillId="14" borderId="7" xfId="2" applyNumberFormat="1" applyFont="1" applyFill="1" applyBorder="1" applyAlignment="1" applyProtection="1">
      <alignment horizontal="center" vertical="center" wrapText="1"/>
    </xf>
    <xf numFmtId="3" fontId="16" fillId="14" borderId="6" xfId="1" applyNumberFormat="1" applyFont="1" applyFill="1" applyBorder="1" applyAlignment="1">
      <alignment horizontal="center" vertical="center"/>
    </xf>
    <xf numFmtId="3" fontId="16" fillId="14" borderId="7" xfId="1" applyNumberFormat="1" applyFont="1" applyFill="1" applyBorder="1" applyAlignment="1">
      <alignment horizontal="center" vertical="center"/>
    </xf>
    <xf numFmtId="3" fontId="16" fillId="14" borderId="8" xfId="1" applyNumberFormat="1" applyFont="1" applyFill="1" applyBorder="1" applyAlignment="1">
      <alignment horizontal="center" vertical="center"/>
    </xf>
    <xf numFmtId="167" fontId="18" fillId="9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13" xfId="1" applyFont="1" applyBorder="1" applyAlignment="1">
      <alignment vertical="center"/>
    </xf>
    <xf numFmtId="16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22" fillId="2" borderId="1" xfId="0" applyFont="1" applyFill="1" applyBorder="1" applyAlignment="1">
      <alignment vertical="center" wrapText="1" readingOrder="1"/>
    </xf>
    <xf numFmtId="0" fontId="22" fillId="2" borderId="1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vertical="center" wrapText="1" readingOrder="1"/>
    </xf>
    <xf numFmtId="164" fontId="23" fillId="0" borderId="1" xfId="0" applyNumberFormat="1" applyFont="1" applyBorder="1" applyAlignment="1">
      <alignment horizontal="right" vertical="center" wrapText="1" readingOrder="1"/>
    </xf>
    <xf numFmtId="0" fontId="23" fillId="0" borderId="1" xfId="0" applyFont="1" applyBorder="1" applyAlignment="1">
      <alignment horizontal="right" vertical="center" wrapText="1" readingOrder="1"/>
    </xf>
    <xf numFmtId="0" fontId="23" fillId="3" borderId="1" xfId="0" applyFont="1" applyFill="1" applyBorder="1" applyAlignment="1">
      <alignment horizontal="right" vertical="center" wrapText="1" readingOrder="1"/>
    </xf>
    <xf numFmtId="0" fontId="22" fillId="0" borderId="1" xfId="0" applyFont="1" applyBorder="1" applyAlignment="1">
      <alignment vertical="center" wrapText="1" readingOrder="1"/>
    </xf>
    <xf numFmtId="0" fontId="23" fillId="0" borderId="0" xfId="0" applyFont="1" applyAlignment="1">
      <alignment vertical="center" wrapText="1" readingOrder="1"/>
    </xf>
    <xf numFmtId="0" fontId="18" fillId="0" borderId="0" xfId="0" applyFont="1"/>
    <xf numFmtId="0" fontId="22" fillId="2" borderId="1" xfId="0" applyFont="1" applyFill="1" applyBorder="1" applyAlignment="1">
      <alignment horizontal="center" vertical="center" wrapText="1" readingOrder="1"/>
    </xf>
    <xf numFmtId="0" fontId="18" fillId="0" borderId="27" xfId="0" applyFont="1" applyBorder="1" applyAlignment="1">
      <alignment vertical="top" wrapText="1"/>
    </xf>
    <xf numFmtId="0" fontId="23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center" vertical="center" wrapText="1" readingOrder="1"/>
    </xf>
    <xf numFmtId="171" fontId="23" fillId="0" borderId="1" xfId="0" applyNumberFormat="1" applyFont="1" applyBorder="1" applyAlignment="1">
      <alignment horizontal="center" vertical="center" wrapText="1" readingOrder="1"/>
    </xf>
    <xf numFmtId="164" fontId="23" fillId="0" borderId="1" xfId="0" applyNumberFormat="1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18" fillId="0" borderId="28" xfId="0" applyFont="1" applyBorder="1" applyAlignment="1">
      <alignment vertical="top" wrapText="1"/>
    </xf>
    <xf numFmtId="171" fontId="22" fillId="0" borderId="1" xfId="0" applyNumberFormat="1" applyFont="1" applyBorder="1" applyAlignment="1">
      <alignment horizontal="center" vertical="center" wrapText="1" readingOrder="1"/>
    </xf>
    <xf numFmtId="164" fontId="22" fillId="0" borderId="1" xfId="0" applyNumberFormat="1" applyFont="1" applyBorder="1" applyAlignment="1">
      <alignment horizontal="center" vertical="center" wrapText="1" readingOrder="1"/>
    </xf>
  </cellXfs>
  <cellStyles count="4">
    <cellStyle name="Comma 2" xfId="2" xr:uid="{8D3C1A7E-D53A-432E-9F07-D5E341610FFE}"/>
    <cellStyle name="Normal" xfId="0" builtinId="0"/>
    <cellStyle name="Normal 14" xfId="3" xr:uid="{290CA9F3-D656-4AA0-973B-51ACF283DBFA}"/>
    <cellStyle name="Normal 2" xfId="1" xr:uid="{62DBFB56-F529-4A5C-9B3B-998C2C08DDB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04F75"/>
      <rgbColor rgb="00CFDCE3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FINANCE\!%20!%20!Schools%20Team\Yoke\s251\2024_25\S251Budget202425_XMLGenerator_1.1%20%20HN%20PLACE%20TABLE.xlsm" TargetMode="External"/><Relationship Id="rId1" Type="http://schemas.openxmlformats.org/officeDocument/2006/relationships/externalLinkPath" Target="file:///I:\FINANCE\!%20!%20!Schools%20Team\Yoke\s251\2024_25\Budget\S251Budget202425_XMLGenerator_1.1%20%20HN%20PLACE%20TABLE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Z:\EDUC\EDUC\shared\FINANCE\!%20!%20!Schools%20Team\!!FOLDERS%20TO%20BE%20MOVED%20TO%20ONE%20DRIVE%20(DO%20NOT%20USE%20-%20now%20on%20One%20Drive)\Divisional%20Folder\Team%20member%20folders\Yoke\s251\2024_25\Budget\Copy%20of%20Early%20Years%20Proforma%20Calculations.xlsx" TargetMode="External"/><Relationship Id="rId2" Type="http://schemas.microsoft.com/office/2019/04/relationships/externalLinkLongPath" Target="file:///Z:\EDUC\EDUC\shared\FINANCE\!%20!%20!Schools%20Team\!!FOLDERS%20TO%20BE%20MOVED%20TO%20ONE%20DRIVE%20(DO%20NOT%20USE%20-%20now%20on%20One%20Drive)\Divisional%20Folder\Team%20member%20folders\Yoke\s251\2024_25\Budget\Copy%20of%20Early%20Years%20Proforma%20Calculations.xlsx?0BC625FA" TargetMode="External"/><Relationship Id="rId1" Type="http://schemas.openxmlformats.org/officeDocument/2006/relationships/externalLinkPath" Target="file:///\\0BC625FA\Copy%20of%20Early%20Years%20Proforma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Instructions"/>
      <sheetName val="LA Table"/>
      <sheetName val="High Needs Places Table"/>
      <sheetName val="Early Years Proforma"/>
      <sheetName val="Admin-Lists"/>
      <sheetName val="Admin-MissingRowCheck"/>
      <sheetName val="S251Budget202425_XMLGenerator_1"/>
    </sheetNames>
    <definedNames>
      <definedName name="wksSchools.showForm"/>
    </definedNames>
    <sheetDataSet>
      <sheetData sheetId="0">
        <row r="12">
          <cell r="C12"/>
        </row>
      </sheetData>
      <sheetData sheetId="1"/>
      <sheetData sheetId="2"/>
      <sheetData sheetId="3"/>
      <sheetData sheetId="4"/>
      <sheetData sheetId="5">
        <row r="1">
          <cell r="A1" t="str">
            <v>Local Authority List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formation"/>
      <sheetName val="National Details"/>
      <sheetName val="3-4YO 2024-25 rates"/>
      <sheetName val="2YO 2024-25 rates"/>
      <sheetName val="Under 2s 2024-25 rates"/>
      <sheetName val="3-4YO 2024-25 step-by-step"/>
      <sheetName val="2YO 2024-25 step-by-step"/>
      <sheetName val="Under 2s 2024-25 step-by-step"/>
      <sheetName val="MNS 2024-25"/>
      <sheetName val="TP&amp;P Notional Rates"/>
      <sheetName val="ACA"/>
      <sheetName val="Formula Factor Data"/>
      <sheetName val="3 and 4 rate calculations f (2)"/>
      <sheetName val="NOTES"/>
      <sheetName val="PROFORMA"/>
      <sheetName val="ALLOCATION"/>
      <sheetName val="3 and 4 rate calculations final"/>
      <sheetName val="2 year old calculations"/>
      <sheetName val="STAFF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AE6">
            <v>36382300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showGridLines="0" zoomScale="80" zoomScaleNormal="80" workbookViewId="0">
      <pane ySplit="4" topLeftCell="A125" activePane="bottomLeft" state="frozen"/>
      <selection pane="bottomLeft" activeCell="E18" sqref="E18"/>
    </sheetView>
  </sheetViews>
  <sheetFormatPr defaultRowHeight="15" x14ac:dyDescent="0.25"/>
  <cols>
    <col min="1" max="1" width="43.140625" customWidth="1"/>
    <col min="2" max="2" width="23.140625" bestFit="1" customWidth="1"/>
    <col min="3" max="4" width="24.85546875" bestFit="1" customWidth="1"/>
    <col min="5" max="5" width="23.140625" bestFit="1" customWidth="1"/>
    <col min="6" max="6" width="21.5703125" customWidth="1"/>
    <col min="7" max="7" width="19.5703125" customWidth="1"/>
    <col min="8" max="8" width="26" bestFit="1" customWidth="1"/>
    <col min="9" max="9" width="23.28515625" customWidth="1"/>
    <col min="10" max="10" width="23.85546875" customWidth="1"/>
    <col min="11" max="11" width="3" customWidth="1"/>
  </cols>
  <sheetData>
    <row r="1" spans="1:10" ht="31.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8.35" customHeight="1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33.950000000000003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s="251" customFormat="1" ht="42" x14ac:dyDescent="0.35">
      <c r="A4" s="252" t="s">
        <v>141</v>
      </c>
      <c r="B4" s="253" t="s">
        <v>3</v>
      </c>
      <c r="C4" s="253" t="s">
        <v>4</v>
      </c>
      <c r="D4" s="253" t="s">
        <v>5</v>
      </c>
      <c r="E4" s="253" t="s">
        <v>326</v>
      </c>
      <c r="F4" s="253" t="s">
        <v>327</v>
      </c>
      <c r="G4" s="253" t="s">
        <v>328</v>
      </c>
      <c r="H4" s="253" t="s">
        <v>6</v>
      </c>
      <c r="I4" s="253" t="s">
        <v>7</v>
      </c>
      <c r="J4" s="253" t="s">
        <v>8</v>
      </c>
    </row>
    <row r="5" spans="1:10" s="251" customFormat="1" ht="126" x14ac:dyDescent="0.35">
      <c r="A5" s="254" t="s">
        <v>9</v>
      </c>
      <c r="B5" s="255">
        <v>35324280</v>
      </c>
      <c r="C5" s="255">
        <v>164658699.97999999</v>
      </c>
      <c r="D5" s="255">
        <v>166908492.12</v>
      </c>
      <c r="E5" s="256"/>
      <c r="F5" s="256"/>
      <c r="G5" s="256"/>
      <c r="H5" s="255">
        <v>366891472.10000002</v>
      </c>
      <c r="I5" s="256"/>
      <c r="J5" s="255">
        <v>366891472.10000002</v>
      </c>
    </row>
    <row r="6" spans="1:10" s="251" customFormat="1" ht="147" x14ac:dyDescent="0.35">
      <c r="A6" s="254" t="s">
        <v>10</v>
      </c>
      <c r="B6" s="255">
        <v>0</v>
      </c>
      <c r="C6" s="255">
        <v>997000</v>
      </c>
      <c r="D6" s="255">
        <v>613000</v>
      </c>
      <c r="E6" s="255">
        <v>15535087.33</v>
      </c>
      <c r="F6" s="255">
        <v>1820000</v>
      </c>
      <c r="G6" s="256"/>
      <c r="H6" s="255">
        <v>18965087.329999998</v>
      </c>
      <c r="I6" s="256"/>
      <c r="J6" s="255">
        <v>18965087.329999998</v>
      </c>
    </row>
    <row r="7" spans="1:10" s="251" customFormat="1" ht="21" x14ac:dyDescent="0.35">
      <c r="A7" s="254" t="s">
        <v>11</v>
      </c>
      <c r="B7" s="256"/>
      <c r="C7" s="255">
        <v>0</v>
      </c>
      <c r="D7" s="255">
        <v>0</v>
      </c>
      <c r="E7" s="256"/>
      <c r="F7" s="256"/>
      <c r="G7" s="256"/>
      <c r="H7" s="255">
        <v>0</v>
      </c>
      <c r="I7" s="255">
        <v>0</v>
      </c>
      <c r="J7" s="255">
        <v>0</v>
      </c>
    </row>
    <row r="8" spans="1:10" s="251" customFormat="1" ht="21" x14ac:dyDescent="0.35">
      <c r="A8" s="254" t="s">
        <v>12</v>
      </c>
      <c r="B8" s="256"/>
      <c r="C8" s="255">
        <v>666323.28</v>
      </c>
      <c r="D8" s="255">
        <v>0</v>
      </c>
      <c r="E8" s="256"/>
      <c r="F8" s="256"/>
      <c r="G8" s="256"/>
      <c r="H8" s="255">
        <v>666323.28</v>
      </c>
      <c r="I8" s="255">
        <v>0</v>
      </c>
      <c r="J8" s="255">
        <v>666323.28</v>
      </c>
    </row>
    <row r="9" spans="1:10" s="251" customFormat="1" ht="42" x14ac:dyDescent="0.35">
      <c r="A9" s="254" t="s">
        <v>13</v>
      </c>
      <c r="B9" s="256"/>
      <c r="C9" s="255">
        <v>0</v>
      </c>
      <c r="D9" s="255">
        <v>0</v>
      </c>
      <c r="E9" s="256"/>
      <c r="F9" s="256"/>
      <c r="G9" s="256"/>
      <c r="H9" s="255">
        <v>0</v>
      </c>
      <c r="I9" s="255">
        <v>0</v>
      </c>
      <c r="J9" s="255">
        <v>0</v>
      </c>
    </row>
    <row r="10" spans="1:10" s="251" customFormat="1" ht="21" x14ac:dyDescent="0.35">
      <c r="A10" s="254" t="s">
        <v>14</v>
      </c>
      <c r="B10" s="256"/>
      <c r="C10" s="255">
        <v>0</v>
      </c>
      <c r="D10" s="255">
        <v>0</v>
      </c>
      <c r="E10" s="256"/>
      <c r="F10" s="256"/>
      <c r="G10" s="256"/>
      <c r="H10" s="255">
        <v>0</v>
      </c>
      <c r="I10" s="255">
        <v>0</v>
      </c>
      <c r="J10" s="255">
        <v>0</v>
      </c>
    </row>
    <row r="11" spans="1:10" s="251" customFormat="1" ht="21" x14ac:dyDescent="0.35">
      <c r="A11" s="254" t="s">
        <v>15</v>
      </c>
      <c r="B11" s="256"/>
      <c r="C11" s="255">
        <v>0</v>
      </c>
      <c r="D11" s="255">
        <v>0</v>
      </c>
      <c r="E11" s="256"/>
      <c r="F11" s="256"/>
      <c r="G11" s="256"/>
      <c r="H11" s="255">
        <v>0</v>
      </c>
      <c r="I11" s="255">
        <v>0</v>
      </c>
      <c r="J11" s="255">
        <v>0</v>
      </c>
    </row>
    <row r="12" spans="1:10" s="251" customFormat="1" ht="42" x14ac:dyDescent="0.35">
      <c r="A12" s="254" t="s">
        <v>16</v>
      </c>
      <c r="B12" s="256"/>
      <c r="C12" s="255">
        <v>0</v>
      </c>
      <c r="D12" s="255">
        <v>0</v>
      </c>
      <c r="E12" s="256"/>
      <c r="F12" s="256"/>
      <c r="G12" s="256"/>
      <c r="H12" s="255">
        <v>0</v>
      </c>
      <c r="I12" s="255">
        <v>0</v>
      </c>
      <c r="J12" s="255">
        <v>0</v>
      </c>
    </row>
    <row r="13" spans="1:10" s="251" customFormat="1" ht="21" x14ac:dyDescent="0.35">
      <c r="A13" s="254" t="s">
        <v>17</v>
      </c>
      <c r="B13" s="256"/>
      <c r="C13" s="255">
        <v>0</v>
      </c>
      <c r="D13" s="255">
        <v>0</v>
      </c>
      <c r="E13" s="256"/>
      <c r="F13" s="256"/>
      <c r="G13" s="256"/>
      <c r="H13" s="255">
        <v>0</v>
      </c>
      <c r="I13" s="255">
        <v>0</v>
      </c>
      <c r="J13" s="255">
        <v>0</v>
      </c>
    </row>
    <row r="14" spans="1:10" s="251" customFormat="1" ht="42" x14ac:dyDescent="0.35">
      <c r="A14" s="254" t="s">
        <v>18</v>
      </c>
      <c r="B14" s="256"/>
      <c r="C14" s="255">
        <v>0</v>
      </c>
      <c r="D14" s="255">
        <v>0</v>
      </c>
      <c r="E14" s="256"/>
      <c r="F14" s="256"/>
      <c r="G14" s="256"/>
      <c r="H14" s="255">
        <v>0</v>
      </c>
      <c r="I14" s="255">
        <v>0</v>
      </c>
      <c r="J14" s="255">
        <v>0</v>
      </c>
    </row>
    <row r="15" spans="1:10" s="251" customFormat="1" ht="42" x14ac:dyDescent="0.35">
      <c r="A15" s="254" t="s">
        <v>19</v>
      </c>
      <c r="B15" s="256"/>
      <c r="C15" s="255">
        <v>79823.88</v>
      </c>
      <c r="D15" s="255">
        <v>30105.42</v>
      </c>
      <c r="E15" s="256"/>
      <c r="F15" s="256"/>
      <c r="G15" s="256"/>
      <c r="H15" s="255">
        <v>109929.3</v>
      </c>
      <c r="I15" s="255">
        <v>0</v>
      </c>
      <c r="J15" s="255">
        <v>109929.3</v>
      </c>
    </row>
    <row r="16" spans="1:10" s="251" customFormat="1" ht="42" x14ac:dyDescent="0.35">
      <c r="A16" s="254" t="s">
        <v>20</v>
      </c>
      <c r="B16" s="255">
        <v>0</v>
      </c>
      <c r="C16" s="255">
        <v>8362875.6900000004</v>
      </c>
      <c r="D16" s="255">
        <v>3524626.1</v>
      </c>
      <c r="E16" s="255">
        <v>15191585.24</v>
      </c>
      <c r="F16" s="255">
        <v>2944096</v>
      </c>
      <c r="G16" s="256"/>
      <c r="H16" s="255">
        <v>30023183.030000001</v>
      </c>
      <c r="I16" s="255">
        <v>0</v>
      </c>
      <c r="J16" s="255">
        <v>30023183.030000001</v>
      </c>
    </row>
    <row r="17" spans="1:10" s="251" customFormat="1" ht="63" x14ac:dyDescent="0.35">
      <c r="A17" s="254" t="s">
        <v>21</v>
      </c>
      <c r="B17" s="255">
        <v>0</v>
      </c>
      <c r="C17" s="255">
        <v>6995530.2000000002</v>
      </c>
      <c r="D17" s="255">
        <v>4740928.26</v>
      </c>
      <c r="E17" s="255">
        <v>10139899.859999999</v>
      </c>
      <c r="F17" s="255">
        <v>0</v>
      </c>
      <c r="G17" s="255">
        <v>1549259.53</v>
      </c>
      <c r="H17" s="255">
        <v>23425617.850000001</v>
      </c>
      <c r="I17" s="255">
        <v>0</v>
      </c>
      <c r="J17" s="255">
        <v>23425617.850000001</v>
      </c>
    </row>
    <row r="18" spans="1:10" s="251" customFormat="1" ht="63" x14ac:dyDescent="0.35">
      <c r="A18" s="254" t="s">
        <v>22</v>
      </c>
      <c r="B18" s="255">
        <v>0</v>
      </c>
      <c r="C18" s="255">
        <v>0</v>
      </c>
      <c r="D18" s="255">
        <v>0</v>
      </c>
      <c r="E18" s="255">
        <v>14404935.26</v>
      </c>
      <c r="F18" s="255">
        <v>0</v>
      </c>
      <c r="G18" s="255">
        <v>2055738.02</v>
      </c>
      <c r="H18" s="255">
        <v>16460673.279999999</v>
      </c>
      <c r="I18" s="255">
        <v>0</v>
      </c>
      <c r="J18" s="255">
        <v>16460673.279999999</v>
      </c>
    </row>
    <row r="19" spans="1:10" s="251" customFormat="1" ht="63" x14ac:dyDescent="0.35">
      <c r="A19" s="254" t="s">
        <v>23</v>
      </c>
      <c r="B19" s="255">
        <v>0</v>
      </c>
      <c r="C19" s="255">
        <v>0</v>
      </c>
      <c r="D19" s="255">
        <v>0</v>
      </c>
      <c r="E19" s="256"/>
      <c r="F19" s="256"/>
      <c r="G19" s="256"/>
      <c r="H19" s="255">
        <v>0</v>
      </c>
      <c r="I19" s="255">
        <v>0</v>
      </c>
      <c r="J19" s="255">
        <v>0</v>
      </c>
    </row>
    <row r="20" spans="1:10" s="251" customFormat="1" ht="21" x14ac:dyDescent="0.35">
      <c r="A20" s="254" t="s">
        <v>24</v>
      </c>
      <c r="B20" s="255">
        <v>0</v>
      </c>
      <c r="C20" s="255">
        <v>3111870.73</v>
      </c>
      <c r="D20" s="255">
        <v>2192316.17</v>
      </c>
      <c r="E20" s="255">
        <v>589354.1</v>
      </c>
      <c r="F20" s="255">
        <v>0</v>
      </c>
      <c r="G20" s="255">
        <v>0</v>
      </c>
      <c r="H20" s="255">
        <v>5893541</v>
      </c>
      <c r="I20" s="255">
        <v>0</v>
      </c>
      <c r="J20" s="255">
        <v>5893541</v>
      </c>
    </row>
    <row r="21" spans="1:10" s="251" customFormat="1" ht="21" x14ac:dyDescent="0.35">
      <c r="A21" s="254" t="s">
        <v>25</v>
      </c>
      <c r="B21" s="256"/>
      <c r="C21" s="256"/>
      <c r="D21" s="256"/>
      <c r="E21" s="255">
        <v>561000</v>
      </c>
      <c r="F21" s="255">
        <v>0</v>
      </c>
      <c r="G21" s="256"/>
      <c r="H21" s="255">
        <v>561000</v>
      </c>
      <c r="I21" s="255">
        <v>0</v>
      </c>
      <c r="J21" s="255">
        <v>561000</v>
      </c>
    </row>
    <row r="22" spans="1:10" s="251" customFormat="1" ht="42" x14ac:dyDescent="0.35">
      <c r="A22" s="254" t="s">
        <v>26</v>
      </c>
      <c r="B22" s="255">
        <v>0</v>
      </c>
      <c r="C22" s="255">
        <v>0</v>
      </c>
      <c r="D22" s="255">
        <v>0</v>
      </c>
      <c r="E22" s="255">
        <v>0</v>
      </c>
      <c r="F22" s="255">
        <v>0</v>
      </c>
      <c r="G22" s="255">
        <v>0</v>
      </c>
      <c r="H22" s="255">
        <v>0</v>
      </c>
      <c r="I22" s="255">
        <v>0</v>
      </c>
      <c r="J22" s="255">
        <v>0</v>
      </c>
    </row>
    <row r="23" spans="1:10" s="251" customFormat="1" ht="21" x14ac:dyDescent="0.35">
      <c r="A23" s="254" t="s">
        <v>27</v>
      </c>
      <c r="B23" s="255">
        <v>0</v>
      </c>
      <c r="C23" s="255">
        <v>145186.62</v>
      </c>
      <c r="D23" s="255">
        <v>92118.41</v>
      </c>
      <c r="E23" s="255">
        <v>27034.75</v>
      </c>
      <c r="F23" s="255">
        <v>0</v>
      </c>
      <c r="G23" s="255">
        <v>0</v>
      </c>
      <c r="H23" s="255">
        <v>264339.78000000003</v>
      </c>
      <c r="I23" s="255">
        <v>0</v>
      </c>
      <c r="J23" s="255">
        <v>264339.78000000003</v>
      </c>
    </row>
    <row r="24" spans="1:10" s="251" customFormat="1" ht="42" x14ac:dyDescent="0.35">
      <c r="A24" s="254" t="s">
        <v>28</v>
      </c>
      <c r="B24" s="256"/>
      <c r="C24" s="256"/>
      <c r="D24" s="256"/>
      <c r="E24" s="255">
        <v>0</v>
      </c>
      <c r="F24" s="255">
        <v>0</v>
      </c>
      <c r="G24" s="256"/>
      <c r="H24" s="255">
        <v>0</v>
      </c>
      <c r="I24" s="255">
        <v>0</v>
      </c>
      <c r="J24" s="255">
        <v>0</v>
      </c>
    </row>
    <row r="25" spans="1:10" s="251" customFormat="1" ht="63" x14ac:dyDescent="0.35">
      <c r="A25" s="254" t="s">
        <v>29</v>
      </c>
      <c r="B25" s="256"/>
      <c r="C25" s="256"/>
      <c r="D25" s="256"/>
      <c r="E25" s="255">
        <v>0</v>
      </c>
      <c r="F25" s="255">
        <v>0</v>
      </c>
      <c r="G25" s="255">
        <v>0</v>
      </c>
      <c r="H25" s="255">
        <v>0</v>
      </c>
      <c r="I25" s="255">
        <v>0</v>
      </c>
      <c r="J25" s="255">
        <v>0</v>
      </c>
    </row>
    <row r="26" spans="1:10" s="251" customFormat="1" ht="42" x14ac:dyDescent="0.35">
      <c r="A26" s="254" t="s">
        <v>30</v>
      </c>
      <c r="B26" s="255">
        <v>0</v>
      </c>
      <c r="C26" s="255">
        <v>0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  <c r="J26" s="255">
        <v>0</v>
      </c>
    </row>
    <row r="27" spans="1:10" s="251" customFormat="1" ht="42" x14ac:dyDescent="0.35">
      <c r="A27" s="254" t="s">
        <v>31</v>
      </c>
      <c r="B27" s="255">
        <v>0</v>
      </c>
      <c r="C27" s="255">
        <v>0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</row>
    <row r="28" spans="1:10" s="251" customFormat="1" ht="42" x14ac:dyDescent="0.35">
      <c r="A28" s="254" t="s">
        <v>32</v>
      </c>
      <c r="B28" s="255">
        <v>1058020</v>
      </c>
      <c r="C28" s="256"/>
      <c r="D28" s="256"/>
      <c r="E28" s="256"/>
      <c r="F28" s="256"/>
      <c r="G28" s="256"/>
      <c r="H28" s="255">
        <v>1058020</v>
      </c>
      <c r="I28" s="255">
        <v>0</v>
      </c>
      <c r="J28" s="255">
        <v>1058020</v>
      </c>
    </row>
    <row r="29" spans="1:10" s="251" customFormat="1" ht="42" x14ac:dyDescent="0.35">
      <c r="A29" s="254" t="s">
        <v>33</v>
      </c>
      <c r="B29" s="255">
        <v>0</v>
      </c>
      <c r="C29" s="255">
        <v>0</v>
      </c>
      <c r="D29" s="255">
        <v>0</v>
      </c>
      <c r="E29" s="255">
        <v>0</v>
      </c>
      <c r="F29" s="255">
        <v>0</v>
      </c>
      <c r="G29" s="256"/>
      <c r="H29" s="255">
        <v>0</v>
      </c>
      <c r="I29" s="255">
        <v>0</v>
      </c>
      <c r="J29" s="255">
        <v>0</v>
      </c>
    </row>
    <row r="30" spans="1:10" s="251" customFormat="1" ht="21" x14ac:dyDescent="0.35">
      <c r="A30" s="254" t="s">
        <v>34</v>
      </c>
      <c r="B30" s="255">
        <v>0</v>
      </c>
      <c r="C30" s="255">
        <v>373870.16</v>
      </c>
      <c r="D30" s="255">
        <v>259355.44</v>
      </c>
      <c r="E30" s="255">
        <v>70358.399999999994</v>
      </c>
      <c r="F30" s="255">
        <v>0</v>
      </c>
      <c r="G30" s="256"/>
      <c r="H30" s="255">
        <v>703584</v>
      </c>
      <c r="I30" s="255">
        <v>0</v>
      </c>
      <c r="J30" s="255">
        <v>703584</v>
      </c>
    </row>
    <row r="31" spans="1:10" s="251" customFormat="1" ht="21" x14ac:dyDescent="0.35">
      <c r="A31" s="254" t="s">
        <v>35</v>
      </c>
      <c r="B31" s="255">
        <v>0</v>
      </c>
      <c r="C31" s="255">
        <v>0</v>
      </c>
      <c r="D31" s="255">
        <v>0</v>
      </c>
      <c r="E31" s="255">
        <v>0</v>
      </c>
      <c r="F31" s="255">
        <v>0</v>
      </c>
      <c r="G31" s="256"/>
      <c r="H31" s="255">
        <v>0</v>
      </c>
      <c r="I31" s="255">
        <v>0</v>
      </c>
      <c r="J31" s="255">
        <v>0</v>
      </c>
    </row>
    <row r="32" spans="1:10" s="251" customFormat="1" ht="42" x14ac:dyDescent="0.35">
      <c r="A32" s="254" t="s">
        <v>36</v>
      </c>
      <c r="B32" s="255">
        <v>0</v>
      </c>
      <c r="C32" s="255">
        <v>91788.91</v>
      </c>
      <c r="D32" s="255">
        <v>63674.39</v>
      </c>
      <c r="E32" s="255">
        <v>17273.7</v>
      </c>
      <c r="F32" s="255">
        <v>0</v>
      </c>
      <c r="G32" s="256"/>
      <c r="H32" s="255">
        <v>172737</v>
      </c>
      <c r="I32" s="255">
        <v>0</v>
      </c>
      <c r="J32" s="255">
        <v>172737</v>
      </c>
    </row>
    <row r="33" spans="1:10" s="251" customFormat="1" ht="21" x14ac:dyDescent="0.35">
      <c r="A33" s="254" t="s">
        <v>37</v>
      </c>
      <c r="B33" s="255">
        <v>0</v>
      </c>
      <c r="C33" s="255">
        <v>0</v>
      </c>
      <c r="D33" s="255">
        <v>0</v>
      </c>
      <c r="E33" s="255">
        <v>0</v>
      </c>
      <c r="F33" s="255">
        <v>0</v>
      </c>
      <c r="G33" s="256"/>
      <c r="H33" s="255">
        <v>0</v>
      </c>
      <c r="I33" s="255">
        <v>0</v>
      </c>
      <c r="J33" s="255">
        <v>0</v>
      </c>
    </row>
    <row r="34" spans="1:10" s="251" customFormat="1" ht="42" x14ac:dyDescent="0.35">
      <c r="A34" s="254" t="s">
        <v>38</v>
      </c>
      <c r="B34" s="255">
        <v>0</v>
      </c>
      <c r="C34" s="255">
        <v>0</v>
      </c>
      <c r="D34" s="255">
        <v>0</v>
      </c>
      <c r="E34" s="255">
        <v>0</v>
      </c>
      <c r="F34" s="255">
        <v>0</v>
      </c>
      <c r="G34" s="256"/>
      <c r="H34" s="255">
        <v>0</v>
      </c>
      <c r="I34" s="255">
        <v>0</v>
      </c>
      <c r="J34" s="255">
        <v>0</v>
      </c>
    </row>
    <row r="35" spans="1:10" s="251" customFormat="1" ht="21" x14ac:dyDescent="0.35">
      <c r="A35" s="254" t="s">
        <v>39</v>
      </c>
      <c r="B35" s="255">
        <v>0</v>
      </c>
      <c r="C35" s="255">
        <v>0</v>
      </c>
      <c r="D35" s="255">
        <v>0</v>
      </c>
      <c r="E35" s="255">
        <v>0</v>
      </c>
      <c r="F35" s="255">
        <v>0</v>
      </c>
      <c r="G35" s="256"/>
      <c r="H35" s="255">
        <v>0</v>
      </c>
      <c r="I35" s="255">
        <v>0</v>
      </c>
      <c r="J35" s="255">
        <v>0</v>
      </c>
    </row>
    <row r="36" spans="1:10" s="251" customFormat="1" ht="42" x14ac:dyDescent="0.35">
      <c r="A36" s="254" t="s">
        <v>40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6"/>
      <c r="H36" s="255">
        <v>0</v>
      </c>
      <c r="I36" s="255">
        <v>0</v>
      </c>
      <c r="J36" s="255">
        <v>0</v>
      </c>
    </row>
    <row r="37" spans="1:10" s="251" customFormat="1" ht="21" x14ac:dyDescent="0.35">
      <c r="A37" s="254" t="s">
        <v>41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6"/>
      <c r="H37" s="255">
        <v>0</v>
      </c>
      <c r="I37" s="255">
        <v>0</v>
      </c>
      <c r="J37" s="255">
        <v>0</v>
      </c>
    </row>
    <row r="38" spans="1:10" s="251" customFormat="1" ht="21" x14ac:dyDescent="0.35">
      <c r="A38" s="254" t="s">
        <v>42</v>
      </c>
      <c r="B38" s="255">
        <v>0</v>
      </c>
      <c r="C38" s="255">
        <v>93000</v>
      </c>
      <c r="D38" s="255">
        <v>487290</v>
      </c>
      <c r="E38" s="255">
        <v>0</v>
      </c>
      <c r="F38" s="255">
        <v>0</v>
      </c>
      <c r="G38" s="256"/>
      <c r="H38" s="255">
        <v>580290</v>
      </c>
      <c r="I38" s="255">
        <v>0</v>
      </c>
      <c r="J38" s="255">
        <v>580290</v>
      </c>
    </row>
    <row r="39" spans="1:10" s="251" customFormat="1" ht="21" x14ac:dyDescent="0.35">
      <c r="A39" s="254" t="s">
        <v>43</v>
      </c>
      <c r="B39" s="255">
        <v>0</v>
      </c>
      <c r="C39" s="255">
        <v>0</v>
      </c>
      <c r="D39" s="255">
        <v>0</v>
      </c>
      <c r="E39" s="255">
        <v>360000</v>
      </c>
      <c r="F39" s="255">
        <v>0</v>
      </c>
      <c r="G39" s="255">
        <v>0</v>
      </c>
      <c r="H39" s="255">
        <v>360000</v>
      </c>
      <c r="I39" s="255">
        <v>0</v>
      </c>
      <c r="J39" s="255">
        <v>360000</v>
      </c>
    </row>
    <row r="40" spans="1:10" s="251" customFormat="1" ht="42" x14ac:dyDescent="0.35">
      <c r="A40" s="254" t="s">
        <v>44</v>
      </c>
      <c r="B40" s="255">
        <v>0</v>
      </c>
      <c r="C40" s="255">
        <v>0</v>
      </c>
      <c r="D40" s="255">
        <v>0</v>
      </c>
      <c r="E40" s="255">
        <v>0</v>
      </c>
      <c r="F40" s="255">
        <v>0</v>
      </c>
      <c r="G40" s="255">
        <v>0</v>
      </c>
      <c r="H40" s="255">
        <v>0</v>
      </c>
      <c r="I40" s="255">
        <v>0</v>
      </c>
      <c r="J40" s="255">
        <v>0</v>
      </c>
    </row>
    <row r="41" spans="1:10" s="251" customFormat="1" ht="21" x14ac:dyDescent="0.35">
      <c r="A41" s="254" t="s">
        <v>45</v>
      </c>
      <c r="B41" s="256"/>
      <c r="C41" s="255">
        <v>0</v>
      </c>
      <c r="D41" s="256"/>
      <c r="E41" s="256"/>
      <c r="F41" s="256"/>
      <c r="G41" s="256"/>
      <c r="H41" s="255">
        <v>0</v>
      </c>
      <c r="I41" s="255">
        <v>0</v>
      </c>
      <c r="J41" s="255">
        <v>0</v>
      </c>
    </row>
    <row r="42" spans="1:10" s="251" customFormat="1" ht="21" x14ac:dyDescent="0.35">
      <c r="A42" s="254" t="s">
        <v>46</v>
      </c>
      <c r="B42" s="255">
        <v>0</v>
      </c>
      <c r="C42" s="255">
        <v>157145.94</v>
      </c>
      <c r="D42" s="255">
        <v>109012.86</v>
      </c>
      <c r="E42" s="255">
        <v>215719.2</v>
      </c>
      <c r="F42" s="255">
        <v>0</v>
      </c>
      <c r="G42" s="255">
        <v>102541</v>
      </c>
      <c r="H42" s="255">
        <v>584419</v>
      </c>
      <c r="I42" s="256"/>
      <c r="J42" s="255">
        <v>584419</v>
      </c>
    </row>
    <row r="43" spans="1:10" s="251" customFormat="1" ht="21" x14ac:dyDescent="0.35">
      <c r="A43" s="254" t="s">
        <v>47</v>
      </c>
      <c r="B43" s="257" t="s">
        <v>48</v>
      </c>
      <c r="C43" s="257" t="s">
        <v>48</v>
      </c>
      <c r="D43" s="257" t="s">
        <v>48</v>
      </c>
      <c r="E43" s="257" t="s">
        <v>48</v>
      </c>
      <c r="F43" s="257" t="s">
        <v>48</v>
      </c>
      <c r="G43" s="257" t="s">
        <v>48</v>
      </c>
      <c r="H43" s="255">
        <v>767233</v>
      </c>
      <c r="I43" s="255">
        <v>0</v>
      </c>
      <c r="J43" s="255">
        <v>767233</v>
      </c>
    </row>
    <row r="44" spans="1:10" s="251" customFormat="1" ht="21" x14ac:dyDescent="0.35">
      <c r="A44" s="254" t="s">
        <v>49</v>
      </c>
      <c r="B44" s="257" t="s">
        <v>48</v>
      </c>
      <c r="C44" s="257" t="s">
        <v>48</v>
      </c>
      <c r="D44" s="257" t="s">
        <v>48</v>
      </c>
      <c r="E44" s="257" t="s">
        <v>48</v>
      </c>
      <c r="F44" s="257" t="s">
        <v>48</v>
      </c>
      <c r="G44" s="257" t="s">
        <v>48</v>
      </c>
      <c r="H44" s="255">
        <v>0</v>
      </c>
      <c r="I44" s="255">
        <v>0</v>
      </c>
      <c r="J44" s="255">
        <v>0</v>
      </c>
    </row>
    <row r="45" spans="1:10" s="251" customFormat="1" ht="42" x14ac:dyDescent="0.35">
      <c r="A45" s="254" t="s">
        <v>50</v>
      </c>
      <c r="B45" s="257" t="s">
        <v>48</v>
      </c>
      <c r="C45" s="257" t="s">
        <v>48</v>
      </c>
      <c r="D45" s="257" t="s">
        <v>48</v>
      </c>
      <c r="E45" s="257" t="s">
        <v>48</v>
      </c>
      <c r="F45" s="257" t="s">
        <v>48</v>
      </c>
      <c r="G45" s="257" t="s">
        <v>48</v>
      </c>
      <c r="H45" s="255">
        <v>0</v>
      </c>
      <c r="I45" s="255">
        <v>0</v>
      </c>
      <c r="J45" s="255">
        <v>0</v>
      </c>
    </row>
    <row r="46" spans="1:10" s="251" customFormat="1" ht="21" x14ac:dyDescent="0.35">
      <c r="A46" s="254" t="s">
        <v>51</v>
      </c>
      <c r="B46" s="257" t="s">
        <v>48</v>
      </c>
      <c r="C46" s="257" t="s">
        <v>48</v>
      </c>
      <c r="D46" s="257" t="s">
        <v>48</v>
      </c>
      <c r="E46" s="257" t="s">
        <v>48</v>
      </c>
      <c r="F46" s="257" t="s">
        <v>48</v>
      </c>
      <c r="G46" s="257" t="s">
        <v>48</v>
      </c>
      <c r="H46" s="255">
        <v>0</v>
      </c>
      <c r="I46" s="255">
        <v>0</v>
      </c>
      <c r="J46" s="255">
        <v>0</v>
      </c>
    </row>
    <row r="47" spans="1:10" s="251" customFormat="1" ht="21" x14ac:dyDescent="0.35">
      <c r="A47" s="254" t="s">
        <v>52</v>
      </c>
      <c r="B47" s="257" t="s">
        <v>48</v>
      </c>
      <c r="C47" s="257" t="s">
        <v>48</v>
      </c>
      <c r="D47" s="257" t="s">
        <v>48</v>
      </c>
      <c r="E47" s="257" t="s">
        <v>48</v>
      </c>
      <c r="F47" s="257" t="s">
        <v>48</v>
      </c>
      <c r="G47" s="257" t="s">
        <v>48</v>
      </c>
      <c r="H47" s="255">
        <v>0</v>
      </c>
      <c r="I47" s="255">
        <v>0</v>
      </c>
      <c r="J47" s="255">
        <v>0</v>
      </c>
    </row>
    <row r="48" spans="1:10" s="251" customFormat="1" ht="21" x14ac:dyDescent="0.35">
      <c r="A48" s="254" t="s">
        <v>53</v>
      </c>
      <c r="B48" s="257" t="s">
        <v>48</v>
      </c>
      <c r="C48" s="257" t="s">
        <v>48</v>
      </c>
      <c r="D48" s="257" t="s">
        <v>48</v>
      </c>
      <c r="E48" s="257" t="s">
        <v>48</v>
      </c>
      <c r="F48" s="257" t="s">
        <v>48</v>
      </c>
      <c r="G48" s="257" t="s">
        <v>48</v>
      </c>
      <c r="H48" s="255">
        <v>0</v>
      </c>
      <c r="I48" s="255">
        <v>0</v>
      </c>
      <c r="J48" s="255">
        <v>0</v>
      </c>
    </row>
    <row r="49" spans="1:10" s="251" customFormat="1" ht="42" x14ac:dyDescent="0.35">
      <c r="A49" s="254" t="s">
        <v>54</v>
      </c>
      <c r="B49" s="257" t="s">
        <v>48</v>
      </c>
      <c r="C49" s="257" t="s">
        <v>48</v>
      </c>
      <c r="D49" s="257" t="s">
        <v>48</v>
      </c>
      <c r="E49" s="257" t="s">
        <v>48</v>
      </c>
      <c r="F49" s="257" t="s">
        <v>48</v>
      </c>
      <c r="G49" s="257" t="s">
        <v>48</v>
      </c>
      <c r="H49" s="255">
        <v>0</v>
      </c>
      <c r="I49" s="255">
        <v>0</v>
      </c>
      <c r="J49" s="255">
        <v>0</v>
      </c>
    </row>
    <row r="50" spans="1:10" s="251" customFormat="1" ht="63" x14ac:dyDescent="0.35">
      <c r="A50" s="254" t="s">
        <v>55</v>
      </c>
      <c r="B50" s="257" t="s">
        <v>48</v>
      </c>
      <c r="C50" s="257" t="s">
        <v>48</v>
      </c>
      <c r="D50" s="257" t="s">
        <v>48</v>
      </c>
      <c r="E50" s="257" t="s">
        <v>48</v>
      </c>
      <c r="F50" s="257" t="s">
        <v>48</v>
      </c>
      <c r="G50" s="257" t="s">
        <v>48</v>
      </c>
      <c r="H50" s="255">
        <v>0</v>
      </c>
      <c r="I50" s="255">
        <v>0</v>
      </c>
      <c r="J50" s="255">
        <v>0</v>
      </c>
    </row>
    <row r="51" spans="1:10" s="251" customFormat="1" ht="42" x14ac:dyDescent="0.35">
      <c r="A51" s="254" t="s">
        <v>56</v>
      </c>
      <c r="B51" s="257" t="s">
        <v>48</v>
      </c>
      <c r="C51" s="257" t="s">
        <v>48</v>
      </c>
      <c r="D51" s="257" t="s">
        <v>48</v>
      </c>
      <c r="E51" s="257" t="s">
        <v>48</v>
      </c>
      <c r="F51" s="257" t="s">
        <v>48</v>
      </c>
      <c r="G51" s="257" t="s">
        <v>48</v>
      </c>
      <c r="H51" s="255">
        <v>0</v>
      </c>
      <c r="I51" s="255">
        <v>0</v>
      </c>
      <c r="J51" s="255">
        <v>0</v>
      </c>
    </row>
    <row r="52" spans="1:10" s="251" customFormat="1" ht="21" x14ac:dyDescent="0.35">
      <c r="A52" s="254" t="s">
        <v>57</v>
      </c>
      <c r="B52" s="257" t="s">
        <v>48</v>
      </c>
      <c r="C52" s="257" t="s">
        <v>48</v>
      </c>
      <c r="D52" s="257" t="s">
        <v>48</v>
      </c>
      <c r="E52" s="257" t="s">
        <v>48</v>
      </c>
      <c r="F52" s="257" t="s">
        <v>48</v>
      </c>
      <c r="G52" s="257" t="s">
        <v>48</v>
      </c>
      <c r="H52" s="255">
        <v>698392.32</v>
      </c>
      <c r="I52" s="255">
        <v>0</v>
      </c>
      <c r="J52" s="255">
        <v>698392.32</v>
      </c>
    </row>
    <row r="53" spans="1:10" s="251" customFormat="1" ht="21" x14ac:dyDescent="0.35">
      <c r="A53" s="254" t="s">
        <v>58</v>
      </c>
      <c r="B53" s="255">
        <v>0</v>
      </c>
      <c r="C53" s="255">
        <v>0</v>
      </c>
      <c r="D53" s="255">
        <v>0</v>
      </c>
      <c r="E53" s="255">
        <v>0</v>
      </c>
      <c r="F53" s="255">
        <v>0</v>
      </c>
      <c r="G53" s="255">
        <v>0</v>
      </c>
      <c r="H53" s="255">
        <v>0</v>
      </c>
      <c r="I53" s="255">
        <v>0</v>
      </c>
      <c r="J53" s="255">
        <v>0</v>
      </c>
    </row>
    <row r="54" spans="1:10" s="251" customFormat="1" ht="42" x14ac:dyDescent="0.35">
      <c r="A54" s="254" t="s">
        <v>59</v>
      </c>
      <c r="B54" s="255">
        <v>36382300</v>
      </c>
      <c r="C54" s="255">
        <v>185733115.38999999</v>
      </c>
      <c r="D54" s="255">
        <v>179020919.16999999</v>
      </c>
      <c r="E54" s="255">
        <v>57112247.840000004</v>
      </c>
      <c r="F54" s="255">
        <v>4764096</v>
      </c>
      <c r="G54" s="255">
        <v>3707538.55</v>
      </c>
      <c r="H54" s="255">
        <v>468185842.26999998</v>
      </c>
      <c r="I54" s="255">
        <v>0</v>
      </c>
      <c r="J54" s="255">
        <v>468185842.26999998</v>
      </c>
    </row>
    <row r="55" spans="1:10" s="251" customFormat="1" ht="168" x14ac:dyDescent="0.35">
      <c r="A55" s="254" t="s">
        <v>60</v>
      </c>
      <c r="B55" s="257" t="s">
        <v>48</v>
      </c>
      <c r="C55" s="257" t="s">
        <v>48</v>
      </c>
      <c r="D55" s="257" t="s">
        <v>48</v>
      </c>
      <c r="E55" s="257" t="s">
        <v>48</v>
      </c>
      <c r="F55" s="257" t="s">
        <v>48</v>
      </c>
      <c r="G55" s="257" t="s">
        <v>48</v>
      </c>
      <c r="H55" s="255">
        <v>452674266</v>
      </c>
      <c r="I55" s="257" t="s">
        <v>48</v>
      </c>
      <c r="J55" s="257" t="s">
        <v>48</v>
      </c>
    </row>
    <row r="56" spans="1:10" s="251" customFormat="1" ht="84" x14ac:dyDescent="0.35">
      <c r="A56" s="254" t="s">
        <v>61</v>
      </c>
      <c r="B56" s="257" t="s">
        <v>48</v>
      </c>
      <c r="C56" s="257" t="s">
        <v>48</v>
      </c>
      <c r="D56" s="257" t="s">
        <v>48</v>
      </c>
      <c r="E56" s="257" t="s">
        <v>48</v>
      </c>
      <c r="F56" s="257" t="s">
        <v>48</v>
      </c>
      <c r="G56" s="257" t="s">
        <v>48</v>
      </c>
      <c r="H56" s="255">
        <v>-9648194</v>
      </c>
      <c r="I56" s="257" t="s">
        <v>48</v>
      </c>
      <c r="J56" s="257" t="s">
        <v>48</v>
      </c>
    </row>
    <row r="57" spans="1:10" s="251" customFormat="1" ht="63" x14ac:dyDescent="0.35">
      <c r="A57" s="254" t="s">
        <v>62</v>
      </c>
      <c r="B57" s="257" t="s">
        <v>48</v>
      </c>
      <c r="C57" s="257" t="s">
        <v>48</v>
      </c>
      <c r="D57" s="257" t="s">
        <v>48</v>
      </c>
      <c r="E57" s="257" t="s">
        <v>48</v>
      </c>
      <c r="F57" s="257" t="s">
        <v>48</v>
      </c>
      <c r="G57" s="257" t="s">
        <v>48</v>
      </c>
      <c r="H57" s="255">
        <v>24527088.27</v>
      </c>
      <c r="I57" s="257" t="s">
        <v>48</v>
      </c>
      <c r="J57" s="257" t="s">
        <v>48</v>
      </c>
    </row>
    <row r="58" spans="1:10" s="251" customFormat="1" ht="42" x14ac:dyDescent="0.35">
      <c r="A58" s="254" t="s">
        <v>63</v>
      </c>
      <c r="B58" s="257" t="s">
        <v>48</v>
      </c>
      <c r="C58" s="257" t="s">
        <v>48</v>
      </c>
      <c r="D58" s="257" t="s">
        <v>48</v>
      </c>
      <c r="E58" s="257" t="s">
        <v>48</v>
      </c>
      <c r="F58" s="257" t="s">
        <v>48</v>
      </c>
      <c r="G58" s="257" t="s">
        <v>48</v>
      </c>
      <c r="H58" s="255">
        <v>632682</v>
      </c>
      <c r="I58" s="257" t="s">
        <v>48</v>
      </c>
      <c r="J58" s="257" t="s">
        <v>48</v>
      </c>
    </row>
    <row r="59" spans="1:10" s="251" customFormat="1" ht="42" x14ac:dyDescent="0.35">
      <c r="A59" s="254" t="s">
        <v>64</v>
      </c>
      <c r="B59" s="257" t="s">
        <v>48</v>
      </c>
      <c r="C59" s="257" t="s">
        <v>48</v>
      </c>
      <c r="D59" s="257" t="s">
        <v>48</v>
      </c>
      <c r="E59" s="257" t="s">
        <v>48</v>
      </c>
      <c r="F59" s="257" t="s">
        <v>48</v>
      </c>
      <c r="G59" s="257" t="s">
        <v>48</v>
      </c>
      <c r="H59" s="255">
        <v>0</v>
      </c>
      <c r="I59" s="257" t="s">
        <v>48</v>
      </c>
      <c r="J59" s="257" t="s">
        <v>48</v>
      </c>
    </row>
    <row r="60" spans="1:10" s="251" customFormat="1" ht="63" x14ac:dyDescent="0.35">
      <c r="A60" s="254" t="s">
        <v>65</v>
      </c>
      <c r="B60" s="257" t="s">
        <v>48</v>
      </c>
      <c r="C60" s="257" t="s">
        <v>48</v>
      </c>
      <c r="D60" s="257" t="s">
        <v>48</v>
      </c>
      <c r="E60" s="257" t="s">
        <v>48</v>
      </c>
      <c r="F60" s="257" t="s">
        <v>48</v>
      </c>
      <c r="G60" s="257" t="s">
        <v>48</v>
      </c>
      <c r="H60" s="255">
        <v>468185842.26999998</v>
      </c>
      <c r="I60" s="257" t="s">
        <v>48</v>
      </c>
      <c r="J60" s="257" t="s">
        <v>48</v>
      </c>
    </row>
    <row r="61" spans="1:10" s="251" customFormat="1" ht="84" x14ac:dyDescent="0.35">
      <c r="A61" s="254" t="s">
        <v>66</v>
      </c>
      <c r="B61" s="257" t="s">
        <v>48</v>
      </c>
      <c r="C61" s="257" t="s">
        <v>48</v>
      </c>
      <c r="D61" s="257" t="s">
        <v>48</v>
      </c>
      <c r="E61" s="257" t="s">
        <v>48</v>
      </c>
      <c r="F61" s="257" t="s">
        <v>48</v>
      </c>
      <c r="G61" s="257" t="s">
        <v>48</v>
      </c>
      <c r="H61" s="255">
        <v>-183958106</v>
      </c>
      <c r="I61" s="257" t="s">
        <v>48</v>
      </c>
      <c r="J61" s="257" t="s">
        <v>48</v>
      </c>
    </row>
    <row r="62" spans="1:10" s="251" customFormat="1" ht="105" x14ac:dyDescent="0.35">
      <c r="A62" s="254" t="s">
        <v>67</v>
      </c>
      <c r="B62" s="257" t="s">
        <v>48</v>
      </c>
      <c r="C62" s="257" t="s">
        <v>48</v>
      </c>
      <c r="D62" s="257" t="s">
        <v>48</v>
      </c>
      <c r="E62" s="257" t="s">
        <v>48</v>
      </c>
      <c r="F62" s="257" t="s">
        <v>48</v>
      </c>
      <c r="G62" s="257" t="s">
        <v>48</v>
      </c>
      <c r="H62" s="255">
        <v>-4628834</v>
      </c>
      <c r="I62" s="257" t="s">
        <v>48</v>
      </c>
      <c r="J62" s="257" t="s">
        <v>48</v>
      </c>
    </row>
    <row r="63" spans="1:10" s="251" customFormat="1" ht="21" x14ac:dyDescent="0.35">
      <c r="A63" s="254" t="s">
        <v>68</v>
      </c>
      <c r="B63" s="257" t="s">
        <v>48</v>
      </c>
      <c r="C63" s="257" t="s">
        <v>48</v>
      </c>
      <c r="D63" s="257" t="s">
        <v>48</v>
      </c>
      <c r="E63" s="257" t="s">
        <v>48</v>
      </c>
      <c r="F63" s="257" t="s">
        <v>48</v>
      </c>
      <c r="G63" s="257" t="s">
        <v>48</v>
      </c>
      <c r="H63" s="255">
        <v>0</v>
      </c>
      <c r="I63" s="255">
        <v>0</v>
      </c>
      <c r="J63" s="255">
        <v>0</v>
      </c>
    </row>
    <row r="64" spans="1:10" s="251" customFormat="1" ht="21" x14ac:dyDescent="0.35">
      <c r="A64" s="254" t="s">
        <v>69</v>
      </c>
      <c r="B64" s="257" t="s">
        <v>48</v>
      </c>
      <c r="C64" s="257" t="s">
        <v>48</v>
      </c>
      <c r="D64" s="257" t="s">
        <v>48</v>
      </c>
      <c r="E64" s="257" t="s">
        <v>48</v>
      </c>
      <c r="F64" s="257" t="s">
        <v>48</v>
      </c>
      <c r="G64" s="257" t="s">
        <v>48</v>
      </c>
      <c r="H64" s="255">
        <v>481315</v>
      </c>
      <c r="I64" s="255">
        <v>203900</v>
      </c>
      <c r="J64" s="255">
        <v>277415</v>
      </c>
    </row>
    <row r="65" spans="1:10" s="251" customFormat="1" ht="21" x14ac:dyDescent="0.35">
      <c r="A65" s="254" t="s">
        <v>70</v>
      </c>
      <c r="B65" s="257" t="s">
        <v>48</v>
      </c>
      <c r="C65" s="257" t="s">
        <v>48</v>
      </c>
      <c r="D65" s="257" t="s">
        <v>48</v>
      </c>
      <c r="E65" s="257" t="s">
        <v>48</v>
      </c>
      <c r="F65" s="257" t="s">
        <v>48</v>
      </c>
      <c r="G65" s="257" t="s">
        <v>48</v>
      </c>
      <c r="H65" s="255">
        <v>334722</v>
      </c>
      <c r="I65" s="255">
        <v>0</v>
      </c>
      <c r="J65" s="255">
        <v>334722</v>
      </c>
    </row>
    <row r="66" spans="1:10" s="251" customFormat="1" ht="42" x14ac:dyDescent="0.35">
      <c r="A66" s="254" t="s">
        <v>71</v>
      </c>
      <c r="B66" s="257" t="s">
        <v>48</v>
      </c>
      <c r="C66" s="257" t="s">
        <v>48</v>
      </c>
      <c r="D66" s="257" t="s">
        <v>48</v>
      </c>
      <c r="E66" s="257" t="s">
        <v>48</v>
      </c>
      <c r="F66" s="257" t="s">
        <v>48</v>
      </c>
      <c r="G66" s="257" t="s">
        <v>48</v>
      </c>
      <c r="H66" s="255">
        <v>0</v>
      </c>
      <c r="I66" s="255">
        <v>0</v>
      </c>
      <c r="J66" s="255">
        <v>0</v>
      </c>
    </row>
    <row r="67" spans="1:10" s="251" customFormat="1" ht="42" x14ac:dyDescent="0.35">
      <c r="A67" s="254" t="s">
        <v>72</v>
      </c>
      <c r="B67" s="257" t="s">
        <v>48</v>
      </c>
      <c r="C67" s="257" t="s">
        <v>48</v>
      </c>
      <c r="D67" s="257" t="s">
        <v>48</v>
      </c>
      <c r="E67" s="257" t="s">
        <v>48</v>
      </c>
      <c r="F67" s="257" t="s">
        <v>48</v>
      </c>
      <c r="G67" s="257" t="s">
        <v>48</v>
      </c>
      <c r="H67" s="255">
        <v>2076957</v>
      </c>
      <c r="I67" s="255">
        <v>0</v>
      </c>
      <c r="J67" s="255">
        <v>2076957</v>
      </c>
    </row>
    <row r="68" spans="1:10" s="251" customFormat="1" ht="63" x14ac:dyDescent="0.35">
      <c r="A68" s="254" t="s">
        <v>73</v>
      </c>
      <c r="B68" s="257" t="s">
        <v>48</v>
      </c>
      <c r="C68" s="257" t="s">
        <v>48</v>
      </c>
      <c r="D68" s="257" t="s">
        <v>48</v>
      </c>
      <c r="E68" s="257" t="s">
        <v>48</v>
      </c>
      <c r="F68" s="257" t="s">
        <v>48</v>
      </c>
      <c r="G68" s="257" t="s">
        <v>48</v>
      </c>
      <c r="H68" s="255">
        <v>0</v>
      </c>
      <c r="I68" s="255">
        <v>0</v>
      </c>
      <c r="J68" s="255">
        <v>0</v>
      </c>
    </row>
    <row r="69" spans="1:10" s="251" customFormat="1" ht="42" x14ac:dyDescent="0.35">
      <c r="A69" s="254" t="s">
        <v>74</v>
      </c>
      <c r="B69" s="257" t="s">
        <v>48</v>
      </c>
      <c r="C69" s="257" t="s">
        <v>48</v>
      </c>
      <c r="D69" s="257" t="s">
        <v>48</v>
      </c>
      <c r="E69" s="257" t="s">
        <v>48</v>
      </c>
      <c r="F69" s="257" t="s">
        <v>48</v>
      </c>
      <c r="G69" s="257" t="s">
        <v>48</v>
      </c>
      <c r="H69" s="255">
        <v>40394</v>
      </c>
      <c r="I69" s="255">
        <v>0</v>
      </c>
      <c r="J69" s="255">
        <v>40394</v>
      </c>
    </row>
    <row r="70" spans="1:10" s="251" customFormat="1" ht="42" x14ac:dyDescent="0.35">
      <c r="A70" s="254" t="s">
        <v>75</v>
      </c>
      <c r="B70" s="257" t="s">
        <v>48</v>
      </c>
      <c r="C70" s="257" t="s">
        <v>48</v>
      </c>
      <c r="D70" s="257" t="s">
        <v>48</v>
      </c>
      <c r="E70" s="257" t="s">
        <v>48</v>
      </c>
      <c r="F70" s="257" t="s">
        <v>48</v>
      </c>
      <c r="G70" s="257" t="s">
        <v>48</v>
      </c>
      <c r="H70" s="255">
        <v>2118651</v>
      </c>
      <c r="I70" s="255">
        <v>315400</v>
      </c>
      <c r="J70" s="255">
        <v>1803251</v>
      </c>
    </row>
    <row r="71" spans="1:10" s="251" customFormat="1" ht="63" x14ac:dyDescent="0.35">
      <c r="A71" s="254" t="s">
        <v>76</v>
      </c>
      <c r="B71" s="257" t="s">
        <v>48</v>
      </c>
      <c r="C71" s="257" t="s">
        <v>48</v>
      </c>
      <c r="D71" s="257" t="s">
        <v>48</v>
      </c>
      <c r="E71" s="257" t="s">
        <v>48</v>
      </c>
      <c r="F71" s="257" t="s">
        <v>48</v>
      </c>
      <c r="G71" s="257" t="s">
        <v>48</v>
      </c>
      <c r="H71" s="255">
        <v>2059749</v>
      </c>
      <c r="I71" s="255">
        <v>0</v>
      </c>
      <c r="J71" s="255">
        <v>2059749</v>
      </c>
    </row>
    <row r="72" spans="1:10" s="251" customFormat="1" ht="84" x14ac:dyDescent="0.35">
      <c r="A72" s="254" t="s">
        <v>77</v>
      </c>
      <c r="B72" s="257" t="s">
        <v>48</v>
      </c>
      <c r="C72" s="257" t="s">
        <v>48</v>
      </c>
      <c r="D72" s="257" t="s">
        <v>48</v>
      </c>
      <c r="E72" s="257" t="s">
        <v>48</v>
      </c>
      <c r="F72" s="257" t="s">
        <v>48</v>
      </c>
      <c r="G72" s="257" t="s">
        <v>48</v>
      </c>
      <c r="H72" s="255">
        <v>51630</v>
      </c>
      <c r="I72" s="255">
        <v>0</v>
      </c>
      <c r="J72" s="255">
        <v>51630</v>
      </c>
    </row>
    <row r="73" spans="1:10" s="251" customFormat="1" ht="63" x14ac:dyDescent="0.35">
      <c r="A73" s="254" t="s">
        <v>78</v>
      </c>
      <c r="B73" s="255">
        <v>411</v>
      </c>
      <c r="C73" s="255">
        <v>615360</v>
      </c>
      <c r="D73" s="255">
        <v>1076828</v>
      </c>
      <c r="E73" s="255">
        <v>10468959</v>
      </c>
      <c r="F73" s="255">
        <v>153892</v>
      </c>
      <c r="G73" s="256"/>
      <c r="H73" s="255">
        <v>12315450</v>
      </c>
      <c r="I73" s="255">
        <v>0</v>
      </c>
      <c r="J73" s="255">
        <v>12315450</v>
      </c>
    </row>
    <row r="74" spans="1:10" s="251" customFormat="1" ht="63" x14ac:dyDescent="0.35">
      <c r="A74" s="254" t="s">
        <v>79</v>
      </c>
      <c r="B74" s="255">
        <v>0</v>
      </c>
      <c r="C74" s="255">
        <v>20179</v>
      </c>
      <c r="D74" s="255">
        <v>144912</v>
      </c>
      <c r="E74" s="255">
        <v>0</v>
      </c>
      <c r="F74" s="255">
        <v>0</v>
      </c>
      <c r="G74" s="256"/>
      <c r="H74" s="255">
        <v>165091</v>
      </c>
      <c r="I74" s="255">
        <v>0</v>
      </c>
      <c r="J74" s="255">
        <v>165091</v>
      </c>
    </row>
    <row r="75" spans="1:10" s="251" customFormat="1" ht="63" x14ac:dyDescent="0.35">
      <c r="A75" s="254" t="s">
        <v>80</v>
      </c>
      <c r="B75" s="256"/>
      <c r="C75" s="256"/>
      <c r="D75" s="255">
        <v>0</v>
      </c>
      <c r="E75" s="255">
        <v>0</v>
      </c>
      <c r="F75" s="255">
        <v>0</v>
      </c>
      <c r="G75" s="255">
        <v>1690535</v>
      </c>
      <c r="H75" s="255">
        <v>1690535</v>
      </c>
      <c r="I75" s="255">
        <v>0</v>
      </c>
      <c r="J75" s="255">
        <v>1690535</v>
      </c>
    </row>
    <row r="76" spans="1:10" s="251" customFormat="1" ht="63" x14ac:dyDescent="0.35">
      <c r="A76" s="254" t="s">
        <v>81</v>
      </c>
      <c r="B76" s="256"/>
      <c r="C76" s="256"/>
      <c r="D76" s="255">
        <v>0</v>
      </c>
      <c r="E76" s="255">
        <v>0</v>
      </c>
      <c r="F76" s="255">
        <v>0</v>
      </c>
      <c r="G76" s="255">
        <v>1383165</v>
      </c>
      <c r="H76" s="255">
        <v>1383165</v>
      </c>
      <c r="I76" s="255">
        <v>0</v>
      </c>
      <c r="J76" s="255">
        <v>1383165</v>
      </c>
    </row>
    <row r="77" spans="1:10" s="251" customFormat="1" ht="63" x14ac:dyDescent="0.35">
      <c r="A77" s="254" t="s">
        <v>82</v>
      </c>
      <c r="B77" s="256"/>
      <c r="C77" s="256"/>
      <c r="D77" s="255">
        <v>0</v>
      </c>
      <c r="E77" s="255">
        <v>0</v>
      </c>
      <c r="F77" s="255">
        <v>0</v>
      </c>
      <c r="G77" s="255">
        <v>1459</v>
      </c>
      <c r="H77" s="255">
        <v>1459</v>
      </c>
      <c r="I77" s="255">
        <v>0</v>
      </c>
      <c r="J77" s="255">
        <v>1459</v>
      </c>
    </row>
    <row r="78" spans="1:10" s="251" customFormat="1" ht="21" x14ac:dyDescent="0.35">
      <c r="A78" s="254" t="s">
        <v>83</v>
      </c>
      <c r="B78" s="257" t="s">
        <v>48</v>
      </c>
      <c r="C78" s="257" t="s">
        <v>48</v>
      </c>
      <c r="D78" s="257" t="s">
        <v>48</v>
      </c>
      <c r="E78" s="257" t="s">
        <v>48</v>
      </c>
      <c r="F78" s="257" t="s">
        <v>48</v>
      </c>
      <c r="G78" s="257" t="s">
        <v>48</v>
      </c>
      <c r="H78" s="255">
        <v>262443</v>
      </c>
      <c r="I78" s="255">
        <v>0</v>
      </c>
      <c r="J78" s="255">
        <v>262443</v>
      </c>
    </row>
    <row r="79" spans="1:10" s="251" customFormat="1" ht="42" x14ac:dyDescent="0.35">
      <c r="A79" s="254" t="s">
        <v>84</v>
      </c>
      <c r="B79" s="257" t="s">
        <v>48</v>
      </c>
      <c r="C79" s="257" t="s">
        <v>48</v>
      </c>
      <c r="D79" s="257" t="s">
        <v>48</v>
      </c>
      <c r="E79" s="257" t="s">
        <v>48</v>
      </c>
      <c r="F79" s="257" t="s">
        <v>48</v>
      </c>
      <c r="G79" s="257" t="s">
        <v>48</v>
      </c>
      <c r="H79" s="255">
        <v>0</v>
      </c>
      <c r="I79" s="255">
        <v>0</v>
      </c>
      <c r="J79" s="255">
        <v>0</v>
      </c>
    </row>
    <row r="80" spans="1:10" s="251" customFormat="1" ht="42" x14ac:dyDescent="0.35">
      <c r="A80" s="254" t="s">
        <v>85</v>
      </c>
      <c r="B80" s="256"/>
      <c r="C80" s="256"/>
      <c r="D80" s="255">
        <v>0</v>
      </c>
      <c r="E80" s="255">
        <v>0</v>
      </c>
      <c r="F80" s="255">
        <v>0</v>
      </c>
      <c r="G80" s="255">
        <v>0</v>
      </c>
      <c r="H80" s="255">
        <v>0</v>
      </c>
      <c r="I80" s="255">
        <v>0</v>
      </c>
      <c r="J80" s="255">
        <v>0</v>
      </c>
    </row>
    <row r="81" spans="1:10" s="251" customFormat="1" ht="42" x14ac:dyDescent="0.35">
      <c r="A81" s="254" t="s">
        <v>86</v>
      </c>
      <c r="B81" s="257" t="s">
        <v>48</v>
      </c>
      <c r="C81" s="257" t="s">
        <v>48</v>
      </c>
      <c r="D81" s="257" t="s">
        <v>48</v>
      </c>
      <c r="E81" s="257" t="s">
        <v>48</v>
      </c>
      <c r="F81" s="257" t="s">
        <v>48</v>
      </c>
      <c r="G81" s="257" t="s">
        <v>48</v>
      </c>
      <c r="H81" s="255">
        <v>6635300</v>
      </c>
      <c r="I81" s="255">
        <v>6635300</v>
      </c>
      <c r="J81" s="255">
        <v>0</v>
      </c>
    </row>
    <row r="82" spans="1:10" s="251" customFormat="1" ht="21" x14ac:dyDescent="0.35">
      <c r="A82" s="254" t="s">
        <v>87</v>
      </c>
      <c r="B82" s="257" t="s">
        <v>48</v>
      </c>
      <c r="C82" s="257" t="s">
        <v>48</v>
      </c>
      <c r="D82" s="257" t="s">
        <v>48</v>
      </c>
      <c r="E82" s="257" t="s">
        <v>48</v>
      </c>
      <c r="F82" s="257" t="s">
        <v>48</v>
      </c>
      <c r="G82" s="257" t="s">
        <v>48</v>
      </c>
      <c r="H82" s="255">
        <v>2068868</v>
      </c>
      <c r="I82" s="255">
        <v>0</v>
      </c>
      <c r="J82" s="255">
        <v>2068868</v>
      </c>
    </row>
    <row r="83" spans="1:10" s="251" customFormat="1" ht="21" x14ac:dyDescent="0.35">
      <c r="A83" s="254" t="s">
        <v>88</v>
      </c>
      <c r="B83" s="257" t="s">
        <v>48</v>
      </c>
      <c r="C83" s="257" t="s">
        <v>48</v>
      </c>
      <c r="D83" s="257" t="s">
        <v>48</v>
      </c>
      <c r="E83" s="257" t="s">
        <v>48</v>
      </c>
      <c r="F83" s="257" t="s">
        <v>48</v>
      </c>
      <c r="G83" s="257" t="s">
        <v>48</v>
      </c>
      <c r="H83" s="255">
        <v>0</v>
      </c>
      <c r="I83" s="255">
        <v>0</v>
      </c>
      <c r="J83" s="255">
        <v>0</v>
      </c>
    </row>
    <row r="84" spans="1:10" s="251" customFormat="1" ht="21" x14ac:dyDescent="0.35">
      <c r="A84" s="254" t="s">
        <v>89</v>
      </c>
      <c r="B84" s="257" t="s">
        <v>48</v>
      </c>
      <c r="C84" s="257" t="s">
        <v>48</v>
      </c>
      <c r="D84" s="257" t="s">
        <v>48</v>
      </c>
      <c r="E84" s="257" t="s">
        <v>48</v>
      </c>
      <c r="F84" s="257" t="s">
        <v>48</v>
      </c>
      <c r="G84" s="257" t="s">
        <v>48</v>
      </c>
      <c r="H84" s="255">
        <v>0</v>
      </c>
      <c r="I84" s="255">
        <v>0</v>
      </c>
      <c r="J84" s="255">
        <v>0</v>
      </c>
    </row>
    <row r="85" spans="1:10" s="251" customFormat="1" ht="21" x14ac:dyDescent="0.35">
      <c r="A85" s="254" t="s">
        <v>90</v>
      </c>
      <c r="B85" s="257" t="s">
        <v>48</v>
      </c>
      <c r="C85" s="257" t="s">
        <v>48</v>
      </c>
      <c r="D85" s="257" t="s">
        <v>48</v>
      </c>
      <c r="E85" s="257" t="s">
        <v>48</v>
      </c>
      <c r="F85" s="257" t="s">
        <v>48</v>
      </c>
      <c r="G85" s="257" t="s">
        <v>48</v>
      </c>
      <c r="H85" s="255">
        <v>0</v>
      </c>
      <c r="I85" s="255">
        <v>0</v>
      </c>
      <c r="J85" s="255">
        <v>0</v>
      </c>
    </row>
    <row r="86" spans="1:10" s="251" customFormat="1" ht="42" x14ac:dyDescent="0.35">
      <c r="A86" s="254" t="s">
        <v>91</v>
      </c>
      <c r="B86" s="257" t="s">
        <v>48</v>
      </c>
      <c r="C86" s="257" t="s">
        <v>48</v>
      </c>
      <c r="D86" s="257" t="s">
        <v>48</v>
      </c>
      <c r="E86" s="257" t="s">
        <v>48</v>
      </c>
      <c r="F86" s="257" t="s">
        <v>48</v>
      </c>
      <c r="G86" s="257" t="s">
        <v>48</v>
      </c>
      <c r="H86" s="255">
        <v>31685729</v>
      </c>
      <c r="I86" s="255">
        <v>7154600</v>
      </c>
      <c r="J86" s="255">
        <v>24531129</v>
      </c>
    </row>
    <row r="87" spans="1:10" s="251" customFormat="1" ht="42" x14ac:dyDescent="0.35">
      <c r="A87" s="254" t="s">
        <v>92</v>
      </c>
      <c r="B87" s="257" t="s">
        <v>48</v>
      </c>
      <c r="C87" s="257" t="s">
        <v>48</v>
      </c>
      <c r="D87" s="257" t="s">
        <v>48</v>
      </c>
      <c r="E87" s="257" t="s">
        <v>48</v>
      </c>
      <c r="F87" s="257" t="s">
        <v>48</v>
      </c>
      <c r="G87" s="257" t="s">
        <v>48</v>
      </c>
      <c r="H87" s="255">
        <v>2074818</v>
      </c>
      <c r="I87" s="255">
        <v>256000</v>
      </c>
      <c r="J87" s="255">
        <v>1818818</v>
      </c>
    </row>
    <row r="88" spans="1:10" s="251" customFormat="1" ht="84" x14ac:dyDescent="0.35">
      <c r="A88" s="254" t="s">
        <v>93</v>
      </c>
      <c r="B88" s="257" t="s">
        <v>48</v>
      </c>
      <c r="C88" s="257" t="s">
        <v>48</v>
      </c>
      <c r="D88" s="257" t="s">
        <v>48</v>
      </c>
      <c r="E88" s="257" t="s">
        <v>48</v>
      </c>
      <c r="F88" s="257" t="s">
        <v>48</v>
      </c>
      <c r="G88" s="257" t="s">
        <v>48</v>
      </c>
      <c r="H88" s="255">
        <v>3237648</v>
      </c>
      <c r="I88" s="255">
        <v>0</v>
      </c>
      <c r="J88" s="255">
        <v>3237648</v>
      </c>
    </row>
    <row r="89" spans="1:10" s="251" customFormat="1" ht="63" x14ac:dyDescent="0.35">
      <c r="A89" s="254" t="s">
        <v>94</v>
      </c>
      <c r="B89" s="257" t="s">
        <v>48</v>
      </c>
      <c r="C89" s="257" t="s">
        <v>48</v>
      </c>
      <c r="D89" s="257" t="s">
        <v>48</v>
      </c>
      <c r="E89" s="257" t="s">
        <v>48</v>
      </c>
      <c r="F89" s="257" t="s">
        <v>48</v>
      </c>
      <c r="G89" s="257" t="s">
        <v>48</v>
      </c>
      <c r="H89" s="255">
        <v>140984</v>
      </c>
      <c r="I89" s="255">
        <v>0</v>
      </c>
      <c r="J89" s="255">
        <v>140984</v>
      </c>
    </row>
    <row r="90" spans="1:10" s="251" customFormat="1" ht="42" x14ac:dyDescent="0.35">
      <c r="A90" s="254" t="s">
        <v>95</v>
      </c>
      <c r="B90" s="257" t="s">
        <v>48</v>
      </c>
      <c r="C90" s="257" t="s">
        <v>48</v>
      </c>
      <c r="D90" s="257" t="s">
        <v>48</v>
      </c>
      <c r="E90" s="257" t="s">
        <v>48</v>
      </c>
      <c r="F90" s="257" t="s">
        <v>48</v>
      </c>
      <c r="G90" s="257" t="s">
        <v>48</v>
      </c>
      <c r="H90" s="255">
        <v>1425969</v>
      </c>
      <c r="I90" s="255">
        <v>62200</v>
      </c>
      <c r="J90" s="255">
        <v>1363769</v>
      </c>
    </row>
    <row r="91" spans="1:10" s="251" customFormat="1" ht="63" x14ac:dyDescent="0.35">
      <c r="A91" s="254" t="s">
        <v>96</v>
      </c>
      <c r="B91" s="257" t="s">
        <v>48</v>
      </c>
      <c r="C91" s="257" t="s">
        <v>48</v>
      </c>
      <c r="D91" s="257" t="s">
        <v>48</v>
      </c>
      <c r="E91" s="257" t="s">
        <v>48</v>
      </c>
      <c r="F91" s="257" t="s">
        <v>48</v>
      </c>
      <c r="G91" s="257" t="s">
        <v>48</v>
      </c>
      <c r="H91" s="255">
        <v>6879419</v>
      </c>
      <c r="I91" s="255">
        <v>318200</v>
      </c>
      <c r="J91" s="255">
        <v>6561219</v>
      </c>
    </row>
    <row r="92" spans="1:10" s="251" customFormat="1" ht="21" x14ac:dyDescent="0.35">
      <c r="A92" s="254" t="s">
        <v>97</v>
      </c>
      <c r="B92" s="257" t="s">
        <v>48</v>
      </c>
      <c r="C92" s="257" t="s">
        <v>48</v>
      </c>
      <c r="D92" s="257" t="s">
        <v>48</v>
      </c>
      <c r="E92" s="257" t="s">
        <v>48</v>
      </c>
      <c r="F92" s="257" t="s">
        <v>48</v>
      </c>
      <c r="G92" s="257" t="s">
        <v>48</v>
      </c>
      <c r="H92" s="255">
        <v>40809142</v>
      </c>
      <c r="I92" s="255">
        <v>0</v>
      </c>
      <c r="J92" s="255">
        <v>40809142</v>
      </c>
    </row>
    <row r="93" spans="1:10" s="251" customFormat="1" ht="63" x14ac:dyDescent="0.35">
      <c r="A93" s="254" t="s">
        <v>98</v>
      </c>
      <c r="B93" s="257" t="s">
        <v>48</v>
      </c>
      <c r="C93" s="257" t="s">
        <v>48</v>
      </c>
      <c r="D93" s="257" t="s">
        <v>48</v>
      </c>
      <c r="E93" s="257" t="s">
        <v>48</v>
      </c>
      <c r="F93" s="257" t="s">
        <v>48</v>
      </c>
      <c r="G93" s="257" t="s">
        <v>48</v>
      </c>
      <c r="H93" s="255">
        <v>7182110</v>
      </c>
      <c r="I93" s="255">
        <v>0</v>
      </c>
      <c r="J93" s="255">
        <v>7182110</v>
      </c>
    </row>
    <row r="94" spans="1:10" s="251" customFormat="1" ht="63" x14ac:dyDescent="0.35">
      <c r="A94" s="254" t="s">
        <v>99</v>
      </c>
      <c r="B94" s="257" t="s">
        <v>48</v>
      </c>
      <c r="C94" s="257" t="s">
        <v>48</v>
      </c>
      <c r="D94" s="257" t="s">
        <v>48</v>
      </c>
      <c r="E94" s="257" t="s">
        <v>48</v>
      </c>
      <c r="F94" s="257" t="s">
        <v>48</v>
      </c>
      <c r="G94" s="257" t="s">
        <v>48</v>
      </c>
      <c r="H94" s="255">
        <v>5951400</v>
      </c>
      <c r="I94" s="255">
        <v>0</v>
      </c>
      <c r="J94" s="255">
        <v>5951400</v>
      </c>
    </row>
    <row r="95" spans="1:10" s="251" customFormat="1" ht="21" x14ac:dyDescent="0.35">
      <c r="A95" s="254" t="s">
        <v>100</v>
      </c>
      <c r="B95" s="257" t="s">
        <v>48</v>
      </c>
      <c r="C95" s="257" t="s">
        <v>48</v>
      </c>
      <c r="D95" s="257" t="s">
        <v>48</v>
      </c>
      <c r="E95" s="257" t="s">
        <v>48</v>
      </c>
      <c r="F95" s="257" t="s">
        <v>48</v>
      </c>
      <c r="G95" s="257" t="s">
        <v>48</v>
      </c>
      <c r="H95" s="255">
        <v>1954099</v>
      </c>
      <c r="I95" s="255">
        <v>0</v>
      </c>
      <c r="J95" s="255">
        <v>1954099</v>
      </c>
    </row>
    <row r="96" spans="1:10" s="251" customFormat="1" ht="42" x14ac:dyDescent="0.35">
      <c r="A96" s="254" t="s">
        <v>101</v>
      </c>
      <c r="B96" s="257" t="s">
        <v>48</v>
      </c>
      <c r="C96" s="257" t="s">
        <v>48</v>
      </c>
      <c r="D96" s="257" t="s">
        <v>48</v>
      </c>
      <c r="E96" s="257" t="s">
        <v>48</v>
      </c>
      <c r="F96" s="257" t="s">
        <v>48</v>
      </c>
      <c r="G96" s="257" t="s">
        <v>48</v>
      </c>
      <c r="H96" s="255">
        <v>4212800</v>
      </c>
      <c r="I96" s="255">
        <v>0</v>
      </c>
      <c r="J96" s="255">
        <v>4212800</v>
      </c>
    </row>
    <row r="97" spans="1:10" s="251" customFormat="1" ht="42" x14ac:dyDescent="0.35">
      <c r="A97" s="254" t="s">
        <v>102</v>
      </c>
      <c r="B97" s="257" t="s">
        <v>48</v>
      </c>
      <c r="C97" s="257" t="s">
        <v>48</v>
      </c>
      <c r="D97" s="257" t="s">
        <v>48</v>
      </c>
      <c r="E97" s="257" t="s">
        <v>48</v>
      </c>
      <c r="F97" s="257" t="s">
        <v>48</v>
      </c>
      <c r="G97" s="257" t="s">
        <v>48</v>
      </c>
      <c r="H97" s="255">
        <v>1236088</v>
      </c>
      <c r="I97" s="255">
        <v>0</v>
      </c>
      <c r="J97" s="255">
        <v>1236088</v>
      </c>
    </row>
    <row r="98" spans="1:10" s="251" customFormat="1" ht="42" x14ac:dyDescent="0.35">
      <c r="A98" s="254" t="s">
        <v>103</v>
      </c>
      <c r="B98" s="257" t="s">
        <v>48</v>
      </c>
      <c r="C98" s="257" t="s">
        <v>48</v>
      </c>
      <c r="D98" s="257" t="s">
        <v>48</v>
      </c>
      <c r="E98" s="257" t="s">
        <v>48</v>
      </c>
      <c r="F98" s="257" t="s">
        <v>48</v>
      </c>
      <c r="G98" s="257" t="s">
        <v>48</v>
      </c>
      <c r="H98" s="255">
        <v>0</v>
      </c>
      <c r="I98" s="255">
        <v>0</v>
      </c>
      <c r="J98" s="255">
        <v>0</v>
      </c>
    </row>
    <row r="99" spans="1:10" s="251" customFormat="1" ht="42" x14ac:dyDescent="0.35">
      <c r="A99" s="254" t="s">
        <v>104</v>
      </c>
      <c r="B99" s="257" t="s">
        <v>48</v>
      </c>
      <c r="C99" s="257" t="s">
        <v>48</v>
      </c>
      <c r="D99" s="257" t="s">
        <v>48</v>
      </c>
      <c r="E99" s="257" t="s">
        <v>48</v>
      </c>
      <c r="F99" s="257" t="s">
        <v>48</v>
      </c>
      <c r="G99" s="257" t="s">
        <v>48</v>
      </c>
      <c r="H99" s="255">
        <v>607852</v>
      </c>
      <c r="I99" s="255">
        <v>0</v>
      </c>
      <c r="J99" s="255">
        <v>607852</v>
      </c>
    </row>
    <row r="100" spans="1:10" s="251" customFormat="1" ht="42" x14ac:dyDescent="0.35">
      <c r="A100" s="254" t="s">
        <v>105</v>
      </c>
      <c r="B100" s="255">
        <v>0</v>
      </c>
      <c r="C100" s="255">
        <v>0</v>
      </c>
      <c r="D100" s="255">
        <v>0</v>
      </c>
      <c r="E100" s="255">
        <v>0</v>
      </c>
      <c r="F100" s="255">
        <v>0</v>
      </c>
      <c r="G100" s="256"/>
      <c r="H100" s="255">
        <v>0</v>
      </c>
      <c r="I100" s="255">
        <v>0</v>
      </c>
      <c r="J100" s="255">
        <v>0</v>
      </c>
    </row>
    <row r="101" spans="1:10" s="251" customFormat="1" ht="42" x14ac:dyDescent="0.35">
      <c r="A101" s="254" t="s">
        <v>106</v>
      </c>
      <c r="B101" s="257" t="s">
        <v>48</v>
      </c>
      <c r="C101" s="257" t="s">
        <v>48</v>
      </c>
      <c r="D101" s="257" t="s">
        <v>48</v>
      </c>
      <c r="E101" s="257" t="s">
        <v>48</v>
      </c>
      <c r="F101" s="257" t="s">
        <v>48</v>
      </c>
      <c r="G101" s="257" t="s">
        <v>48</v>
      </c>
      <c r="H101" s="255">
        <v>2282957</v>
      </c>
      <c r="I101" s="255">
        <v>0</v>
      </c>
      <c r="J101" s="255">
        <v>2282957</v>
      </c>
    </row>
    <row r="102" spans="1:10" s="251" customFormat="1" ht="42" x14ac:dyDescent="0.35">
      <c r="A102" s="254" t="s">
        <v>107</v>
      </c>
      <c r="B102" s="257" t="s">
        <v>48</v>
      </c>
      <c r="C102" s="257" t="s">
        <v>48</v>
      </c>
      <c r="D102" s="257" t="s">
        <v>48</v>
      </c>
      <c r="E102" s="257" t="s">
        <v>48</v>
      </c>
      <c r="F102" s="257" t="s">
        <v>48</v>
      </c>
      <c r="G102" s="257" t="s">
        <v>48</v>
      </c>
      <c r="H102" s="255">
        <v>1933000</v>
      </c>
      <c r="I102" s="255">
        <v>0</v>
      </c>
      <c r="J102" s="255">
        <v>1933000</v>
      </c>
    </row>
    <row r="103" spans="1:10" s="251" customFormat="1" ht="42" x14ac:dyDescent="0.35">
      <c r="A103" s="254" t="s">
        <v>108</v>
      </c>
      <c r="B103" s="255">
        <v>0</v>
      </c>
      <c r="C103" s="255">
        <v>0</v>
      </c>
      <c r="D103" s="255">
        <v>0</v>
      </c>
      <c r="E103" s="255">
        <v>0</v>
      </c>
      <c r="F103" s="255">
        <v>0</v>
      </c>
      <c r="G103" s="256"/>
      <c r="H103" s="255">
        <v>66169448</v>
      </c>
      <c r="I103" s="255">
        <v>0</v>
      </c>
      <c r="J103" s="255">
        <v>66169448</v>
      </c>
    </row>
    <row r="104" spans="1:10" s="251" customFormat="1" ht="42" x14ac:dyDescent="0.35">
      <c r="A104" s="254" t="s">
        <v>109</v>
      </c>
      <c r="B104" s="257" t="s">
        <v>48</v>
      </c>
      <c r="C104" s="257" t="s">
        <v>48</v>
      </c>
      <c r="D104" s="257" t="s">
        <v>48</v>
      </c>
      <c r="E104" s="257" t="s">
        <v>48</v>
      </c>
      <c r="F104" s="257" t="s">
        <v>48</v>
      </c>
      <c r="G104" s="257" t="s">
        <v>48</v>
      </c>
      <c r="H104" s="255">
        <v>46010</v>
      </c>
      <c r="I104" s="255">
        <v>0</v>
      </c>
      <c r="J104" s="255">
        <v>46010</v>
      </c>
    </row>
    <row r="105" spans="1:10" s="251" customFormat="1" ht="63" x14ac:dyDescent="0.35">
      <c r="A105" s="254" t="s">
        <v>110</v>
      </c>
      <c r="B105" s="257" t="s">
        <v>48</v>
      </c>
      <c r="C105" s="257" t="s">
        <v>48</v>
      </c>
      <c r="D105" s="257" t="s">
        <v>48</v>
      </c>
      <c r="E105" s="257" t="s">
        <v>48</v>
      </c>
      <c r="F105" s="257" t="s">
        <v>48</v>
      </c>
      <c r="G105" s="257" t="s">
        <v>48</v>
      </c>
      <c r="H105" s="255">
        <v>23315561</v>
      </c>
      <c r="I105" s="255">
        <v>119000</v>
      </c>
      <c r="J105" s="255">
        <v>23196561</v>
      </c>
    </row>
    <row r="106" spans="1:10" s="251" customFormat="1" ht="42" x14ac:dyDescent="0.35">
      <c r="A106" s="254" t="s">
        <v>111</v>
      </c>
      <c r="B106" s="257" t="s">
        <v>48</v>
      </c>
      <c r="C106" s="257" t="s">
        <v>48</v>
      </c>
      <c r="D106" s="257" t="s">
        <v>48</v>
      </c>
      <c r="E106" s="257" t="s">
        <v>48</v>
      </c>
      <c r="F106" s="257" t="s">
        <v>48</v>
      </c>
      <c r="G106" s="257" t="s">
        <v>48</v>
      </c>
      <c r="H106" s="255">
        <v>758783</v>
      </c>
      <c r="I106" s="255">
        <v>0</v>
      </c>
      <c r="J106" s="255">
        <v>758783</v>
      </c>
    </row>
    <row r="107" spans="1:10" s="251" customFormat="1" ht="42" x14ac:dyDescent="0.35">
      <c r="A107" s="254" t="s">
        <v>112</v>
      </c>
      <c r="B107" s="257" t="s">
        <v>48</v>
      </c>
      <c r="C107" s="257" t="s">
        <v>48</v>
      </c>
      <c r="D107" s="257" t="s">
        <v>48</v>
      </c>
      <c r="E107" s="257" t="s">
        <v>48</v>
      </c>
      <c r="F107" s="257" t="s">
        <v>48</v>
      </c>
      <c r="G107" s="257" t="s">
        <v>48</v>
      </c>
      <c r="H107" s="255">
        <v>287192</v>
      </c>
      <c r="I107" s="255">
        <v>147700</v>
      </c>
      <c r="J107" s="255">
        <v>139492</v>
      </c>
    </row>
    <row r="108" spans="1:10" s="251" customFormat="1" ht="63" x14ac:dyDescent="0.35">
      <c r="A108" s="254" t="s">
        <v>113</v>
      </c>
      <c r="B108" s="257" t="s">
        <v>48</v>
      </c>
      <c r="C108" s="257" t="s">
        <v>48</v>
      </c>
      <c r="D108" s="257" t="s">
        <v>48</v>
      </c>
      <c r="E108" s="257" t="s">
        <v>48</v>
      </c>
      <c r="F108" s="257" t="s">
        <v>48</v>
      </c>
      <c r="G108" s="257" t="s">
        <v>48</v>
      </c>
      <c r="H108" s="255">
        <v>24361536</v>
      </c>
      <c r="I108" s="255">
        <v>266700</v>
      </c>
      <c r="J108" s="255">
        <v>24094836</v>
      </c>
    </row>
    <row r="109" spans="1:10" s="251" customFormat="1" ht="21" x14ac:dyDescent="0.35">
      <c r="A109" s="254" t="s">
        <v>114</v>
      </c>
      <c r="B109" s="257" t="s">
        <v>48</v>
      </c>
      <c r="C109" s="257" t="s">
        <v>48</v>
      </c>
      <c r="D109" s="257" t="s">
        <v>48</v>
      </c>
      <c r="E109" s="257" t="s">
        <v>48</v>
      </c>
      <c r="F109" s="257" t="s">
        <v>48</v>
      </c>
      <c r="G109" s="257" t="s">
        <v>48</v>
      </c>
      <c r="H109" s="255">
        <v>758598</v>
      </c>
      <c r="I109" s="255">
        <v>0</v>
      </c>
      <c r="J109" s="255">
        <v>758598</v>
      </c>
    </row>
    <row r="110" spans="1:10" s="251" customFormat="1" ht="42" x14ac:dyDescent="0.35">
      <c r="A110" s="254" t="s">
        <v>115</v>
      </c>
      <c r="B110" s="257" t="s">
        <v>48</v>
      </c>
      <c r="C110" s="257" t="s">
        <v>48</v>
      </c>
      <c r="D110" s="257" t="s">
        <v>48</v>
      </c>
      <c r="E110" s="257" t="s">
        <v>48</v>
      </c>
      <c r="F110" s="257" t="s">
        <v>48</v>
      </c>
      <c r="G110" s="257" t="s">
        <v>48</v>
      </c>
      <c r="H110" s="255">
        <v>1161561</v>
      </c>
      <c r="I110" s="255">
        <v>0</v>
      </c>
      <c r="J110" s="255">
        <v>1161561</v>
      </c>
    </row>
    <row r="111" spans="1:10" s="251" customFormat="1" ht="42" x14ac:dyDescent="0.35">
      <c r="A111" s="254" t="s">
        <v>116</v>
      </c>
      <c r="B111" s="257" t="s">
        <v>48</v>
      </c>
      <c r="C111" s="257" t="s">
        <v>48</v>
      </c>
      <c r="D111" s="257" t="s">
        <v>48</v>
      </c>
      <c r="E111" s="257" t="s">
        <v>48</v>
      </c>
      <c r="F111" s="257" t="s">
        <v>48</v>
      </c>
      <c r="G111" s="257" t="s">
        <v>48</v>
      </c>
      <c r="H111" s="255">
        <v>270763</v>
      </c>
      <c r="I111" s="255">
        <v>0</v>
      </c>
      <c r="J111" s="255">
        <v>270763</v>
      </c>
    </row>
    <row r="112" spans="1:10" s="251" customFormat="1" ht="21" x14ac:dyDescent="0.35">
      <c r="A112" s="254" t="s">
        <v>117</v>
      </c>
      <c r="B112" s="257" t="s">
        <v>48</v>
      </c>
      <c r="C112" s="257" t="s">
        <v>48</v>
      </c>
      <c r="D112" s="257" t="s">
        <v>48</v>
      </c>
      <c r="E112" s="257" t="s">
        <v>48</v>
      </c>
      <c r="F112" s="257" t="s">
        <v>48</v>
      </c>
      <c r="G112" s="257" t="s">
        <v>48</v>
      </c>
      <c r="H112" s="255">
        <v>3296541</v>
      </c>
      <c r="I112" s="255">
        <v>114800</v>
      </c>
      <c r="J112" s="255">
        <v>3181741</v>
      </c>
    </row>
    <row r="113" spans="1:10" s="251" customFormat="1" ht="21" x14ac:dyDescent="0.35">
      <c r="A113" s="254" t="s">
        <v>118</v>
      </c>
      <c r="B113" s="257" t="s">
        <v>48</v>
      </c>
      <c r="C113" s="257" t="s">
        <v>48</v>
      </c>
      <c r="D113" s="257" t="s">
        <v>48</v>
      </c>
      <c r="E113" s="257" t="s">
        <v>48</v>
      </c>
      <c r="F113" s="257" t="s">
        <v>48</v>
      </c>
      <c r="G113" s="257" t="s">
        <v>48</v>
      </c>
      <c r="H113" s="255">
        <v>1454292</v>
      </c>
      <c r="I113" s="255">
        <v>12500</v>
      </c>
      <c r="J113" s="255">
        <v>1441792</v>
      </c>
    </row>
    <row r="114" spans="1:10" s="251" customFormat="1" ht="42" x14ac:dyDescent="0.35">
      <c r="A114" s="254" t="s">
        <v>119</v>
      </c>
      <c r="B114" s="257" t="s">
        <v>48</v>
      </c>
      <c r="C114" s="257" t="s">
        <v>48</v>
      </c>
      <c r="D114" s="257" t="s">
        <v>48</v>
      </c>
      <c r="E114" s="257" t="s">
        <v>48</v>
      </c>
      <c r="F114" s="257" t="s">
        <v>48</v>
      </c>
      <c r="G114" s="257" t="s">
        <v>48</v>
      </c>
      <c r="H114" s="255">
        <v>6941755</v>
      </c>
      <c r="I114" s="255">
        <v>127300</v>
      </c>
      <c r="J114" s="255">
        <v>6814455</v>
      </c>
    </row>
    <row r="115" spans="1:10" s="251" customFormat="1" ht="42" x14ac:dyDescent="0.35">
      <c r="A115" s="254" t="s">
        <v>120</v>
      </c>
      <c r="B115" s="257" t="s">
        <v>48</v>
      </c>
      <c r="C115" s="257" t="s">
        <v>48</v>
      </c>
      <c r="D115" s="257" t="s">
        <v>48</v>
      </c>
      <c r="E115" s="257" t="s">
        <v>48</v>
      </c>
      <c r="F115" s="257" t="s">
        <v>48</v>
      </c>
      <c r="G115" s="257" t="s">
        <v>48</v>
      </c>
      <c r="H115" s="255">
        <v>1505401</v>
      </c>
      <c r="I115" s="255">
        <v>34000</v>
      </c>
      <c r="J115" s="255">
        <v>1471401</v>
      </c>
    </row>
    <row r="116" spans="1:10" s="251" customFormat="1" ht="42" x14ac:dyDescent="0.35">
      <c r="A116" s="254" t="s">
        <v>121</v>
      </c>
      <c r="B116" s="257" t="s">
        <v>48</v>
      </c>
      <c r="C116" s="257" t="s">
        <v>48</v>
      </c>
      <c r="D116" s="257" t="s">
        <v>48</v>
      </c>
      <c r="E116" s="257" t="s">
        <v>48</v>
      </c>
      <c r="F116" s="257" t="s">
        <v>48</v>
      </c>
      <c r="G116" s="257" t="s">
        <v>48</v>
      </c>
      <c r="H116" s="255">
        <v>1288591</v>
      </c>
      <c r="I116" s="255">
        <v>320000</v>
      </c>
      <c r="J116" s="255">
        <v>968591</v>
      </c>
    </row>
    <row r="117" spans="1:10" s="251" customFormat="1" ht="42" x14ac:dyDescent="0.35">
      <c r="A117" s="254" t="s">
        <v>122</v>
      </c>
      <c r="B117" s="257" t="s">
        <v>48</v>
      </c>
      <c r="C117" s="257" t="s">
        <v>48</v>
      </c>
      <c r="D117" s="257" t="s">
        <v>48</v>
      </c>
      <c r="E117" s="257" t="s">
        <v>48</v>
      </c>
      <c r="F117" s="257" t="s">
        <v>48</v>
      </c>
      <c r="G117" s="257" t="s">
        <v>48</v>
      </c>
      <c r="H117" s="255">
        <v>2793992</v>
      </c>
      <c r="I117" s="255">
        <v>354000</v>
      </c>
      <c r="J117" s="255">
        <v>2439992</v>
      </c>
    </row>
    <row r="118" spans="1:10" s="251" customFormat="1" ht="21" x14ac:dyDescent="0.35">
      <c r="A118" s="254" t="s">
        <v>123</v>
      </c>
      <c r="B118" s="257" t="s">
        <v>48</v>
      </c>
      <c r="C118" s="257" t="s">
        <v>48</v>
      </c>
      <c r="D118" s="257" t="s">
        <v>48</v>
      </c>
      <c r="E118" s="257" t="s">
        <v>48</v>
      </c>
      <c r="F118" s="257" t="s">
        <v>48</v>
      </c>
      <c r="G118" s="257" t="s">
        <v>48</v>
      </c>
      <c r="H118" s="255">
        <v>2501551</v>
      </c>
      <c r="I118" s="255">
        <v>181900</v>
      </c>
      <c r="J118" s="255">
        <v>2319651</v>
      </c>
    </row>
    <row r="119" spans="1:10" s="251" customFormat="1" ht="84" x14ac:dyDescent="0.35">
      <c r="A119" s="254" t="s">
        <v>124</v>
      </c>
      <c r="B119" s="257" t="s">
        <v>48</v>
      </c>
      <c r="C119" s="257" t="s">
        <v>48</v>
      </c>
      <c r="D119" s="257" t="s">
        <v>48</v>
      </c>
      <c r="E119" s="257" t="s">
        <v>48</v>
      </c>
      <c r="F119" s="257" t="s">
        <v>48</v>
      </c>
      <c r="G119" s="257" t="s">
        <v>48</v>
      </c>
      <c r="H119" s="255">
        <v>0</v>
      </c>
      <c r="I119" s="255">
        <v>0</v>
      </c>
      <c r="J119" s="255">
        <v>0</v>
      </c>
    </row>
    <row r="120" spans="1:10" s="251" customFormat="1" ht="84" x14ac:dyDescent="0.35">
      <c r="A120" s="254" t="s">
        <v>125</v>
      </c>
      <c r="B120" s="257" t="s">
        <v>48</v>
      </c>
      <c r="C120" s="257" t="s">
        <v>48</v>
      </c>
      <c r="D120" s="257" t="s">
        <v>48</v>
      </c>
      <c r="E120" s="257" t="s">
        <v>48</v>
      </c>
      <c r="F120" s="257" t="s">
        <v>48</v>
      </c>
      <c r="G120" s="257" t="s">
        <v>48</v>
      </c>
      <c r="H120" s="255">
        <v>499871571.26999998</v>
      </c>
      <c r="I120" s="255">
        <v>7154600</v>
      </c>
      <c r="J120" s="255">
        <v>492716971.26999998</v>
      </c>
    </row>
    <row r="121" spans="1:10" s="251" customFormat="1" ht="105" x14ac:dyDescent="0.35">
      <c r="A121" s="254" t="s">
        <v>126</v>
      </c>
      <c r="B121" s="257" t="s">
        <v>48</v>
      </c>
      <c r="C121" s="257" t="s">
        <v>48</v>
      </c>
      <c r="D121" s="257" t="s">
        <v>48</v>
      </c>
      <c r="E121" s="257" t="s">
        <v>48</v>
      </c>
      <c r="F121" s="257" t="s">
        <v>48</v>
      </c>
      <c r="G121" s="257" t="s">
        <v>48</v>
      </c>
      <c r="H121" s="255">
        <v>109693711</v>
      </c>
      <c r="I121" s="255">
        <v>1248100</v>
      </c>
      <c r="J121" s="255">
        <v>108445611</v>
      </c>
    </row>
    <row r="122" spans="1:10" s="251" customFormat="1" ht="126" x14ac:dyDescent="0.35">
      <c r="A122" s="254" t="s">
        <v>127</v>
      </c>
      <c r="B122" s="257" t="s">
        <v>48</v>
      </c>
      <c r="C122" s="257" t="s">
        <v>48</v>
      </c>
      <c r="D122" s="257" t="s">
        <v>48</v>
      </c>
      <c r="E122" s="257" t="s">
        <v>48</v>
      </c>
      <c r="F122" s="257" t="s">
        <v>48</v>
      </c>
      <c r="G122" s="257" t="s">
        <v>48</v>
      </c>
      <c r="H122" s="255">
        <v>609565282.26999998</v>
      </c>
      <c r="I122" s="255">
        <v>8402700</v>
      </c>
      <c r="J122" s="255">
        <v>601162582.26999998</v>
      </c>
    </row>
    <row r="123" spans="1:10" s="251" customFormat="1" ht="42" x14ac:dyDescent="0.35">
      <c r="A123" s="254" t="s">
        <v>128</v>
      </c>
      <c r="B123" s="255">
        <v>0</v>
      </c>
      <c r="C123" s="255">
        <v>0</v>
      </c>
      <c r="D123" s="255">
        <v>0</v>
      </c>
      <c r="E123" s="255">
        <v>0</v>
      </c>
      <c r="F123" s="255">
        <v>0</v>
      </c>
      <c r="G123" s="256"/>
      <c r="H123" s="255">
        <v>0</v>
      </c>
      <c r="I123" s="255">
        <v>0</v>
      </c>
      <c r="J123" s="255">
        <v>0</v>
      </c>
    </row>
    <row r="124" spans="1:10" s="251" customFormat="1" ht="84" x14ac:dyDescent="0.35">
      <c r="A124" s="254" t="s">
        <v>129</v>
      </c>
      <c r="B124" s="257" t="s">
        <v>48</v>
      </c>
      <c r="C124" s="257" t="s">
        <v>48</v>
      </c>
      <c r="D124" s="257" t="s">
        <v>48</v>
      </c>
      <c r="E124" s="257" t="s">
        <v>48</v>
      </c>
      <c r="F124" s="257" t="s">
        <v>48</v>
      </c>
      <c r="G124" s="257" t="s">
        <v>48</v>
      </c>
      <c r="H124" s="255">
        <v>0</v>
      </c>
      <c r="I124" s="255">
        <v>0</v>
      </c>
      <c r="J124" s="255">
        <v>0</v>
      </c>
    </row>
    <row r="125" spans="1:10" s="251" customFormat="1" ht="63" x14ac:dyDescent="0.35">
      <c r="A125" s="254" t="s">
        <v>130</v>
      </c>
      <c r="B125" s="257" t="s">
        <v>48</v>
      </c>
      <c r="C125" s="257" t="s">
        <v>48</v>
      </c>
      <c r="D125" s="257" t="s">
        <v>48</v>
      </c>
      <c r="E125" s="257" t="s">
        <v>48</v>
      </c>
      <c r="F125" s="257" t="s">
        <v>48</v>
      </c>
      <c r="G125" s="257" t="s">
        <v>48</v>
      </c>
      <c r="H125" s="255">
        <v>0</v>
      </c>
      <c r="I125" s="255">
        <v>0</v>
      </c>
      <c r="J125" s="255">
        <v>0</v>
      </c>
    </row>
    <row r="126" spans="1:10" s="251" customFormat="1" ht="21" x14ac:dyDescent="0.35">
      <c r="A126" s="254" t="s">
        <v>48</v>
      </c>
      <c r="B126" s="256" t="s">
        <v>48</v>
      </c>
      <c r="C126" s="256" t="s">
        <v>48</v>
      </c>
      <c r="D126" s="256" t="s">
        <v>48</v>
      </c>
      <c r="E126" s="256" t="s">
        <v>48</v>
      </c>
      <c r="F126" s="256" t="s">
        <v>48</v>
      </c>
      <c r="G126" s="256" t="s">
        <v>48</v>
      </c>
      <c r="H126" s="256" t="s">
        <v>48</v>
      </c>
      <c r="I126" s="256" t="s">
        <v>48</v>
      </c>
      <c r="J126" s="256" t="s">
        <v>48</v>
      </c>
    </row>
    <row r="127" spans="1:10" s="251" customFormat="1" ht="42" x14ac:dyDescent="0.35">
      <c r="A127" s="258" t="s">
        <v>131</v>
      </c>
      <c r="B127" s="256" t="s">
        <v>48</v>
      </c>
      <c r="C127" s="256" t="s">
        <v>48</v>
      </c>
      <c r="D127" s="256" t="s">
        <v>48</v>
      </c>
      <c r="E127" s="256" t="s">
        <v>48</v>
      </c>
      <c r="F127" s="256" t="s">
        <v>48</v>
      </c>
      <c r="G127" s="256" t="s">
        <v>48</v>
      </c>
      <c r="H127" s="253" t="s">
        <v>132</v>
      </c>
      <c r="I127" s="253" t="s">
        <v>133</v>
      </c>
      <c r="J127" s="253" t="s">
        <v>8</v>
      </c>
    </row>
    <row r="128" spans="1:10" s="251" customFormat="1" ht="42" x14ac:dyDescent="0.35">
      <c r="A128" s="254" t="s">
        <v>134</v>
      </c>
      <c r="B128" s="256" t="s">
        <v>48</v>
      </c>
      <c r="C128" s="256" t="s">
        <v>48</v>
      </c>
      <c r="D128" s="256" t="s">
        <v>48</v>
      </c>
      <c r="E128" s="256" t="s">
        <v>48</v>
      </c>
      <c r="F128" s="256" t="s">
        <v>48</v>
      </c>
      <c r="G128" s="256" t="s">
        <v>48</v>
      </c>
      <c r="H128" s="255">
        <v>333018521</v>
      </c>
      <c r="I128" s="255">
        <v>333018521</v>
      </c>
      <c r="J128" s="255">
        <v>0</v>
      </c>
    </row>
    <row r="129" spans="1:10" s="251" customFormat="1" ht="21" x14ac:dyDescent="0.35">
      <c r="A129" s="254" t="s">
        <v>135</v>
      </c>
      <c r="B129" s="256" t="s">
        <v>48</v>
      </c>
      <c r="C129" s="256" t="s">
        <v>48</v>
      </c>
      <c r="D129" s="256" t="s">
        <v>48</v>
      </c>
      <c r="E129" s="256" t="s">
        <v>48</v>
      </c>
      <c r="F129" s="256" t="s">
        <v>48</v>
      </c>
      <c r="G129" s="256" t="s">
        <v>48</v>
      </c>
      <c r="H129" s="255">
        <v>2227973</v>
      </c>
      <c r="I129" s="255">
        <v>2227973</v>
      </c>
      <c r="J129" s="255">
        <v>0</v>
      </c>
    </row>
    <row r="130" spans="1:10" s="251" customFormat="1" ht="42" x14ac:dyDescent="0.35">
      <c r="A130" s="254" t="s">
        <v>136</v>
      </c>
      <c r="B130" s="256" t="s">
        <v>48</v>
      </c>
      <c r="C130" s="256" t="s">
        <v>48</v>
      </c>
      <c r="D130" s="256" t="s">
        <v>48</v>
      </c>
      <c r="E130" s="256" t="s">
        <v>48</v>
      </c>
      <c r="F130" s="256" t="s">
        <v>48</v>
      </c>
      <c r="G130" s="256" t="s">
        <v>48</v>
      </c>
      <c r="H130" s="255">
        <v>81045472</v>
      </c>
      <c r="I130" s="255">
        <v>95924366.269999996</v>
      </c>
      <c r="J130" s="255">
        <v>-14878894.27</v>
      </c>
    </row>
    <row r="131" spans="1:10" s="251" customFormat="1" ht="21" x14ac:dyDescent="0.35">
      <c r="A131" s="254" t="s">
        <v>3</v>
      </c>
      <c r="B131" s="256" t="s">
        <v>48</v>
      </c>
      <c r="C131" s="256" t="s">
        <v>48</v>
      </c>
      <c r="D131" s="256" t="s">
        <v>48</v>
      </c>
      <c r="E131" s="256" t="s">
        <v>48</v>
      </c>
      <c r="F131" s="256" t="s">
        <v>48</v>
      </c>
      <c r="G131" s="256" t="s">
        <v>48</v>
      </c>
      <c r="H131" s="255">
        <v>36382300</v>
      </c>
      <c r="I131" s="255">
        <v>36382300</v>
      </c>
      <c r="J131" s="255">
        <v>0</v>
      </c>
    </row>
    <row r="132" spans="1:10" s="251" customFormat="1" ht="21" x14ac:dyDescent="0.35">
      <c r="A132" s="254" t="s">
        <v>137</v>
      </c>
      <c r="B132" s="256" t="s">
        <v>48</v>
      </c>
      <c r="C132" s="256" t="s">
        <v>48</v>
      </c>
      <c r="D132" s="256" t="s">
        <v>48</v>
      </c>
      <c r="E132" s="256" t="s">
        <v>48</v>
      </c>
      <c r="F132" s="256" t="s">
        <v>48</v>
      </c>
      <c r="G132" s="256" t="s">
        <v>48</v>
      </c>
      <c r="H132" s="255">
        <v>452674266</v>
      </c>
      <c r="I132" s="255">
        <v>467553160.26999998</v>
      </c>
      <c r="J132" s="255">
        <v>-14878894.27</v>
      </c>
    </row>
    <row r="133" spans="1:10" s="251" customFormat="1" ht="0" hidden="1" customHeight="1" x14ac:dyDescent="0.35"/>
    <row r="134" spans="1:10" s="251" customFormat="1" ht="21" x14ac:dyDescent="0.35"/>
  </sheetData>
  <mergeCells count="3">
    <mergeCell ref="A1:J1"/>
    <mergeCell ref="A2:J2"/>
    <mergeCell ref="A3:J3"/>
  </mergeCells>
  <pageMargins left="0.196850393700787" right="0.196850393700787" top="0.196850393700787" bottom="0.196850393700787" header="0.196850393700787" footer="0.196850393700787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0707-DE3B-455F-A070-A8EE3C323B31}">
  <dimension ref="A1:AO139"/>
  <sheetViews>
    <sheetView zoomScale="80" zoomScaleNormal="80" workbookViewId="0">
      <pane ySplit="6" topLeftCell="A7" activePane="bottomLeft" state="frozen"/>
      <selection pane="bottomLeft" activeCell="A125" sqref="A125:XFD125"/>
    </sheetView>
  </sheetViews>
  <sheetFormatPr defaultColWidth="9" defaultRowHeight="12.75" x14ac:dyDescent="0.25"/>
  <cols>
    <col min="1" max="1" width="2.42578125" style="5" customWidth="1"/>
    <col min="2" max="2" width="25.42578125" style="23" customWidth="1"/>
    <col min="3" max="3" width="33" style="23" customWidth="1"/>
    <col min="4" max="4" width="12.28515625" style="23" customWidth="1"/>
    <col min="5" max="5" width="40.7109375" style="24" customWidth="1"/>
    <col min="6" max="8" width="15.5703125" style="23" customWidth="1"/>
    <col min="9" max="9" width="13.7109375" style="25" customWidth="1"/>
    <col min="10" max="10" width="17.85546875" style="23" bestFit="1" customWidth="1"/>
    <col min="11" max="11" width="15.5703125" style="23" customWidth="1"/>
    <col min="12" max="12" width="20.28515625" style="23" bestFit="1" customWidth="1"/>
    <col min="13" max="15" width="15.5703125" style="23" customWidth="1"/>
    <col min="16" max="16" width="18.42578125" style="23" customWidth="1"/>
    <col min="17" max="17" width="15.5703125" style="23" customWidth="1"/>
    <col min="18" max="18" width="34.7109375" style="23" customWidth="1"/>
    <col min="19" max="19" width="25" style="23" customWidth="1"/>
    <col min="20" max="20" width="1.5703125" style="23" customWidth="1"/>
    <col min="21" max="21" width="9" style="23"/>
    <col min="22" max="22" width="4" style="23" hidden="1" customWidth="1"/>
    <col min="23" max="23" width="9" style="23" hidden="1" customWidth="1"/>
    <col min="24" max="24" width="8.42578125" style="23" hidden="1" customWidth="1"/>
    <col min="25" max="25" width="22.5703125" style="23" hidden="1" customWidth="1"/>
    <col min="26" max="28" width="28.140625" style="23" hidden="1" customWidth="1"/>
    <col min="29" max="29" width="36.5703125" style="23" hidden="1" customWidth="1"/>
    <col min="30" max="35" width="24.28515625" style="23" hidden="1" customWidth="1"/>
    <col min="36" max="36" width="3.7109375" style="23" hidden="1" customWidth="1"/>
    <col min="37" max="38" width="7.7109375" style="23" hidden="1" customWidth="1"/>
    <col min="39" max="39" width="7" style="23" hidden="1" customWidth="1"/>
    <col min="40" max="40" width="9" style="23" hidden="1" customWidth="1"/>
    <col min="41" max="16384" width="9" style="23"/>
  </cols>
  <sheetData>
    <row r="1" spans="1:40" s="6" customFormat="1" ht="24" customHeight="1" x14ac:dyDescent="0.25">
      <c r="A1" s="5"/>
      <c r="B1" s="45" t="s">
        <v>138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7"/>
      <c r="V1" s="7" t="s">
        <v>139</v>
      </c>
      <c r="W1" s="8"/>
      <c r="X1" s="9" t="s">
        <v>140</v>
      </c>
      <c r="Y1" s="10" t="s">
        <v>141</v>
      </c>
      <c r="Z1" s="11" t="s">
        <v>142</v>
      </c>
      <c r="AA1" s="12"/>
      <c r="AB1" s="13"/>
      <c r="AC1" s="9" t="s">
        <v>143</v>
      </c>
      <c r="AD1" s="14" t="s">
        <v>144</v>
      </c>
      <c r="AE1" s="15"/>
      <c r="AF1" s="16"/>
      <c r="AG1" s="14" t="s">
        <v>145</v>
      </c>
      <c r="AH1" s="15"/>
      <c r="AI1" s="16"/>
      <c r="AJ1" s="11" t="s">
        <v>146</v>
      </c>
      <c r="AK1" s="12"/>
      <c r="AL1" s="12"/>
      <c r="AM1" s="13"/>
    </row>
    <row r="2" spans="1:40" s="6" customFormat="1" ht="51" x14ac:dyDescent="0.25">
      <c r="A2" s="5"/>
      <c r="B2" s="43" t="s">
        <v>147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8"/>
      <c r="V2" s="17"/>
      <c r="W2" s="18"/>
      <c r="X2" s="19"/>
      <c r="Y2" s="20"/>
      <c r="Z2" s="21" t="s">
        <v>148</v>
      </c>
      <c r="AA2" s="21" t="s">
        <v>149</v>
      </c>
      <c r="AB2" s="21" t="s">
        <v>150</v>
      </c>
      <c r="AC2" s="19"/>
      <c r="AD2" s="22" t="s">
        <v>148</v>
      </c>
      <c r="AE2" s="22" t="s">
        <v>149</v>
      </c>
      <c r="AF2" s="22" t="s">
        <v>150</v>
      </c>
      <c r="AG2" s="22" t="s">
        <v>148</v>
      </c>
      <c r="AH2" s="22" t="s">
        <v>149</v>
      </c>
      <c r="AI2" s="22" t="s">
        <v>150</v>
      </c>
      <c r="AJ2" s="22" t="s">
        <v>148</v>
      </c>
      <c r="AK2" s="22" t="s">
        <v>149</v>
      </c>
      <c r="AL2" s="22" t="s">
        <v>150</v>
      </c>
      <c r="AM2" s="21" t="s">
        <v>151</v>
      </c>
      <c r="AN2" s="21" t="s">
        <v>152</v>
      </c>
    </row>
    <row r="3" spans="1:40" ht="24" customHeight="1" x14ac:dyDescent="0.25">
      <c r="B3" s="26"/>
      <c r="C3" s="26"/>
      <c r="D3" s="27"/>
      <c r="E3" s="28"/>
      <c r="F3" s="29"/>
      <c r="G3" s="29"/>
      <c r="H3" s="29"/>
      <c r="I3" s="30"/>
      <c r="J3" s="27"/>
      <c r="K3" s="27"/>
      <c r="L3" s="27"/>
      <c r="M3" s="27"/>
      <c r="N3" s="27"/>
      <c r="O3" s="27"/>
      <c r="P3" s="31"/>
      <c r="Q3" s="31"/>
      <c r="R3" s="31"/>
      <c r="S3" s="31"/>
    </row>
    <row r="4" spans="1:40" ht="24" customHeight="1" x14ac:dyDescent="0.25"/>
    <row r="5" spans="1:40" s="71" customFormat="1" ht="39.75" customHeight="1" x14ac:dyDescent="0.25">
      <c r="A5" s="60"/>
      <c r="B5" s="61" t="s">
        <v>153</v>
      </c>
      <c r="C5" s="62"/>
      <c r="D5" s="63" t="s">
        <v>140</v>
      </c>
      <c r="E5" s="64" t="s">
        <v>154</v>
      </c>
      <c r="F5" s="65" t="s">
        <v>142</v>
      </c>
      <c r="G5" s="66"/>
      <c r="H5" s="67"/>
      <c r="I5" s="63" t="s">
        <v>143</v>
      </c>
      <c r="J5" s="68" t="s">
        <v>144</v>
      </c>
      <c r="K5" s="69"/>
      <c r="L5" s="70"/>
      <c r="M5" s="68" t="s">
        <v>145</v>
      </c>
      <c r="N5" s="69"/>
      <c r="O5" s="70"/>
      <c r="P5" s="65" t="s">
        <v>146</v>
      </c>
      <c r="Q5" s="66"/>
      <c r="R5" s="66"/>
      <c r="S5" s="67"/>
    </row>
    <row r="6" spans="1:40" s="71" customFormat="1" ht="64.5" customHeight="1" x14ac:dyDescent="0.25">
      <c r="A6" s="60"/>
      <c r="B6" s="72"/>
      <c r="C6" s="73"/>
      <c r="D6" s="74"/>
      <c r="E6" s="75"/>
      <c r="F6" s="76" t="s">
        <v>148</v>
      </c>
      <c r="G6" s="76" t="s">
        <v>149</v>
      </c>
      <c r="H6" s="76" t="s">
        <v>150</v>
      </c>
      <c r="I6" s="74"/>
      <c r="J6" s="77" t="s">
        <v>148</v>
      </c>
      <c r="K6" s="77" t="s">
        <v>149</v>
      </c>
      <c r="L6" s="77" t="s">
        <v>150</v>
      </c>
      <c r="M6" s="77" t="s">
        <v>148</v>
      </c>
      <c r="N6" s="77" t="s">
        <v>149</v>
      </c>
      <c r="O6" s="77" t="s">
        <v>150</v>
      </c>
      <c r="P6" s="77" t="s">
        <v>148</v>
      </c>
      <c r="Q6" s="77" t="s">
        <v>149</v>
      </c>
      <c r="R6" s="77" t="s">
        <v>150</v>
      </c>
      <c r="S6" s="76" t="s">
        <v>151</v>
      </c>
    </row>
    <row r="7" spans="1:40" s="71" customFormat="1" ht="24" customHeight="1" x14ac:dyDescent="0.35">
      <c r="A7" s="78" t="s">
        <v>155</v>
      </c>
      <c r="B7" s="79" t="s">
        <v>156</v>
      </c>
      <c r="C7" s="80"/>
      <c r="D7" s="81">
        <v>1</v>
      </c>
      <c r="E7" s="82"/>
      <c r="F7" s="83">
        <v>4.83</v>
      </c>
      <c r="G7" s="84"/>
      <c r="H7" s="83">
        <v>4.83</v>
      </c>
      <c r="I7" s="85" t="s">
        <v>157</v>
      </c>
      <c r="J7" s="86">
        <f>1857582+1802.28</f>
        <v>1859384.28</v>
      </c>
      <c r="K7" s="87"/>
      <c r="L7" s="86">
        <f>1385929+1344</f>
        <v>1387273</v>
      </c>
      <c r="M7" s="86">
        <v>667974</v>
      </c>
      <c r="N7" s="87"/>
      <c r="O7" s="86">
        <v>207534</v>
      </c>
      <c r="P7" s="88">
        <f>(J7+M7)*F7</f>
        <v>12207140.492400002</v>
      </c>
      <c r="Q7" s="89" t="str">
        <f t="shared" ref="Q7:R7" si="0">IF(AND(G7="",K7="",N7=""),"",G7*(K7+N7))</f>
        <v/>
      </c>
      <c r="R7" s="89">
        <f t="shared" si="0"/>
        <v>7702917.8100000005</v>
      </c>
      <c r="S7" s="90">
        <f>IF(AND(P7="",Q7="",R7=""),"",SUM(P7:R7))</f>
        <v>19910058.3024</v>
      </c>
      <c r="V7" s="91">
        <v>1.1000000000000001</v>
      </c>
      <c r="W7" s="91"/>
      <c r="X7" s="91">
        <v>1.1000000000000001</v>
      </c>
      <c r="Y7" s="91" t="s">
        <v>158</v>
      </c>
      <c r="Z7" s="91" t="s">
        <v>159</v>
      </c>
      <c r="AA7" s="91" t="s">
        <v>159</v>
      </c>
      <c r="AB7" s="91" t="s">
        <v>159</v>
      </c>
      <c r="AC7" s="91" t="s">
        <v>160</v>
      </c>
      <c r="AD7" s="91" t="s">
        <v>161</v>
      </c>
      <c r="AE7" s="91" t="s">
        <v>161</v>
      </c>
      <c r="AF7" s="91" t="s">
        <v>161</v>
      </c>
      <c r="AG7" s="91" t="s">
        <v>161</v>
      </c>
      <c r="AH7" s="91" t="s">
        <v>161</v>
      </c>
      <c r="AI7" s="91" t="s">
        <v>161</v>
      </c>
      <c r="AJ7" s="91"/>
      <c r="AK7" s="91"/>
      <c r="AL7" s="91"/>
      <c r="AM7" s="91"/>
      <c r="AN7" s="91">
        <f>IF(F7&amp;G7&amp;H7&amp;I7&amp;J7&amp;K7&amp;L7&amp;M7&amp;N7&amp;O7&amp;P7&amp;Q7&amp;R7&amp;S7="",0,1)</f>
        <v>1</v>
      </c>
    </row>
    <row r="8" spans="1:40" s="71" customFormat="1" ht="24" customHeight="1" x14ac:dyDescent="0.25">
      <c r="A8" s="60"/>
      <c r="C8" s="60" t="s">
        <v>162</v>
      </c>
      <c r="E8" s="92"/>
      <c r="I8" s="93"/>
    </row>
    <row r="9" spans="1:40" s="71" customFormat="1" ht="24" customHeight="1" x14ac:dyDescent="0.25">
      <c r="A9" s="60"/>
      <c r="B9" s="61" t="s">
        <v>163</v>
      </c>
      <c r="C9" s="62"/>
      <c r="D9" s="63"/>
      <c r="E9" s="64" t="s">
        <v>154</v>
      </c>
      <c r="F9" s="66" t="s">
        <v>142</v>
      </c>
      <c r="G9" s="66"/>
      <c r="H9" s="67"/>
      <c r="I9" s="63" t="s">
        <v>143</v>
      </c>
      <c r="J9" s="68" t="s">
        <v>164</v>
      </c>
      <c r="K9" s="69"/>
      <c r="L9" s="69"/>
      <c r="M9" s="69"/>
      <c r="N9" s="69"/>
      <c r="O9" s="70"/>
      <c r="P9" s="65" t="s">
        <v>146</v>
      </c>
      <c r="Q9" s="66"/>
      <c r="R9" s="66"/>
      <c r="S9" s="67"/>
    </row>
    <row r="10" spans="1:40" s="71" customFormat="1" ht="42.75" customHeight="1" x14ac:dyDescent="0.25">
      <c r="A10" s="60"/>
      <c r="B10" s="72"/>
      <c r="C10" s="73"/>
      <c r="D10" s="94"/>
      <c r="E10" s="75"/>
      <c r="F10" s="95" t="s">
        <v>148</v>
      </c>
      <c r="G10" s="95" t="s">
        <v>149</v>
      </c>
      <c r="H10" s="95" t="s">
        <v>150</v>
      </c>
      <c r="I10" s="94"/>
      <c r="J10" s="96" t="s">
        <v>148</v>
      </c>
      <c r="K10" s="96" t="s">
        <v>149</v>
      </c>
      <c r="L10" s="96" t="s">
        <v>150</v>
      </c>
      <c r="M10" s="97" t="s">
        <v>165</v>
      </c>
      <c r="N10" s="97"/>
      <c r="O10" s="97"/>
      <c r="P10" s="96" t="s">
        <v>148</v>
      </c>
      <c r="Q10" s="96" t="s">
        <v>149</v>
      </c>
      <c r="R10" s="96" t="s">
        <v>150</v>
      </c>
      <c r="S10" s="95" t="s">
        <v>151</v>
      </c>
    </row>
    <row r="11" spans="1:40" s="71" customFormat="1" ht="41.25" customHeight="1" x14ac:dyDescent="0.35">
      <c r="A11" s="60"/>
      <c r="B11" s="98" t="s">
        <v>166</v>
      </c>
      <c r="C11" s="99"/>
      <c r="D11" s="100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3"/>
    </row>
    <row r="12" spans="1:40" s="71" customFormat="1" ht="34.5" customHeight="1" x14ac:dyDescent="0.35">
      <c r="A12" s="78" t="s">
        <v>167</v>
      </c>
      <c r="B12" s="104"/>
      <c r="C12" s="105" t="s">
        <v>168</v>
      </c>
      <c r="D12" s="106">
        <v>1</v>
      </c>
      <c r="E12" s="107" t="s">
        <v>169</v>
      </c>
      <c r="F12" s="108">
        <v>0.15</v>
      </c>
      <c r="G12" s="109"/>
      <c r="H12" s="110">
        <v>0.15</v>
      </c>
      <c r="I12" s="111"/>
      <c r="J12" s="112">
        <f>1176062+437564</f>
        <v>1613626</v>
      </c>
      <c r="K12" s="113"/>
      <c r="L12" s="112">
        <f>1029525+157204</f>
        <v>1186729</v>
      </c>
      <c r="M12" s="114"/>
      <c r="N12" s="114"/>
      <c r="O12" s="114"/>
      <c r="P12" s="89">
        <f t="shared" ref="P12:R16" si="1">IF(AND(F12="",J12="",M12=""),"",F12*(J12+M12))</f>
        <v>242043.9</v>
      </c>
      <c r="Q12" s="89" t="str">
        <f t="shared" si="1"/>
        <v/>
      </c>
      <c r="R12" s="89">
        <f t="shared" si="1"/>
        <v>178009.35</v>
      </c>
      <c r="S12" s="90">
        <f t="shared" ref="S12:S16" si="2">IF(AND(P12="",Q12="",R12=""),"",SUM(P12:R12))</f>
        <v>420053.25</v>
      </c>
      <c r="V12" s="91">
        <v>1.1000000000000001</v>
      </c>
      <c r="W12" s="91"/>
      <c r="X12" s="91">
        <v>1.1000000000000001</v>
      </c>
      <c r="Y12" s="91" t="s">
        <v>158</v>
      </c>
      <c r="Z12" s="91" t="s">
        <v>159</v>
      </c>
      <c r="AA12" s="91" t="s">
        <v>159</v>
      </c>
      <c r="AB12" s="91" t="s">
        <v>159</v>
      </c>
      <c r="AC12" s="91" t="s">
        <v>160</v>
      </c>
      <c r="AD12" s="91" t="s">
        <v>161</v>
      </c>
      <c r="AE12" s="91" t="s">
        <v>161</v>
      </c>
      <c r="AF12" s="91" t="s">
        <v>161</v>
      </c>
      <c r="AG12" s="91" t="s">
        <v>161</v>
      </c>
      <c r="AH12" s="91" t="s">
        <v>161</v>
      </c>
      <c r="AI12" s="91" t="s">
        <v>161</v>
      </c>
      <c r="AJ12" s="91"/>
      <c r="AK12" s="91"/>
      <c r="AL12" s="91"/>
      <c r="AM12" s="91"/>
      <c r="AN12" s="91">
        <f>IF(F12&amp;G12&amp;H12&amp;I12&amp;J12&amp;K12&amp;L12&amp;M12&amp;N12&amp;O12&amp;P12&amp;Q12&amp;R12&amp;S12="",0,1)</f>
        <v>1</v>
      </c>
    </row>
    <row r="13" spans="1:40" s="71" customFormat="1" ht="74.25" customHeight="1" x14ac:dyDescent="0.35">
      <c r="A13" s="78" t="s">
        <v>170</v>
      </c>
      <c r="B13" s="115"/>
      <c r="C13" s="116" t="s">
        <v>171</v>
      </c>
      <c r="D13" s="117">
        <v>1</v>
      </c>
      <c r="E13" s="118" t="s">
        <v>172</v>
      </c>
      <c r="F13" s="83">
        <v>0.16</v>
      </c>
      <c r="G13" s="119"/>
      <c r="H13" s="120">
        <v>0.16</v>
      </c>
      <c r="I13" s="111"/>
      <c r="J13" s="121">
        <f>769235+337148</f>
        <v>1106383</v>
      </c>
      <c r="K13" s="122"/>
      <c r="L13" s="121">
        <f>1241742+205140</f>
        <v>1446882</v>
      </c>
      <c r="M13" s="114"/>
      <c r="N13" s="114"/>
      <c r="O13" s="114"/>
      <c r="P13" s="89">
        <f t="shared" si="1"/>
        <v>177021.28</v>
      </c>
      <c r="Q13" s="89" t="str">
        <f t="shared" si="1"/>
        <v/>
      </c>
      <c r="R13" s="89">
        <f t="shared" si="1"/>
        <v>231501.12</v>
      </c>
      <c r="S13" s="90">
        <f t="shared" si="2"/>
        <v>408522.4</v>
      </c>
      <c r="V13" s="91">
        <v>1.1000000000000001</v>
      </c>
      <c r="W13" s="91"/>
      <c r="X13" s="91">
        <v>1.1000000000000001</v>
      </c>
      <c r="Y13" s="91" t="s">
        <v>158</v>
      </c>
      <c r="Z13" s="91" t="s">
        <v>159</v>
      </c>
      <c r="AA13" s="91" t="s">
        <v>159</v>
      </c>
      <c r="AB13" s="91" t="s">
        <v>159</v>
      </c>
      <c r="AC13" s="91" t="s">
        <v>160</v>
      </c>
      <c r="AD13" s="91" t="s">
        <v>161</v>
      </c>
      <c r="AE13" s="91" t="s">
        <v>161</v>
      </c>
      <c r="AF13" s="91" t="s">
        <v>161</v>
      </c>
      <c r="AG13" s="91" t="s">
        <v>161</v>
      </c>
      <c r="AH13" s="91" t="s">
        <v>161</v>
      </c>
      <c r="AI13" s="91" t="s">
        <v>161</v>
      </c>
      <c r="AJ13" s="91"/>
      <c r="AK13" s="91"/>
      <c r="AL13" s="91"/>
      <c r="AM13" s="91"/>
      <c r="AN13" s="91">
        <f>IF(F13&amp;G13&amp;H13&amp;I13&amp;J13&amp;K13&amp;L13&amp;M13&amp;N13&amp;O13&amp;P13&amp;Q13&amp;R13&amp;S13="",0,1)</f>
        <v>1</v>
      </c>
    </row>
    <row r="14" spans="1:40" s="71" customFormat="1" ht="24" customHeight="1" x14ac:dyDescent="0.35">
      <c r="A14" s="78" t="s">
        <v>173</v>
      </c>
      <c r="B14" s="115"/>
      <c r="C14" s="116" t="s">
        <v>174</v>
      </c>
      <c r="D14" s="117">
        <v>1</v>
      </c>
      <c r="E14" s="82"/>
      <c r="F14" s="119"/>
      <c r="G14" s="84"/>
      <c r="H14" s="123"/>
      <c r="I14" s="111"/>
      <c r="J14" s="124"/>
      <c r="K14" s="122"/>
      <c r="L14" s="122"/>
      <c r="M14" s="114"/>
      <c r="N14" s="114"/>
      <c r="O14" s="114"/>
      <c r="P14" s="89" t="str">
        <f t="shared" si="1"/>
        <v/>
      </c>
      <c r="Q14" s="89" t="str">
        <f t="shared" si="1"/>
        <v/>
      </c>
      <c r="R14" s="89" t="str">
        <f t="shared" si="1"/>
        <v/>
      </c>
      <c r="S14" s="90" t="str">
        <f t="shared" si="2"/>
        <v/>
      </c>
      <c r="V14" s="91">
        <v>1.1000000000000001</v>
      </c>
      <c r="W14" s="91"/>
      <c r="X14" s="91">
        <v>1.1000000000000001</v>
      </c>
      <c r="Y14" s="91" t="s">
        <v>158</v>
      </c>
      <c r="Z14" s="91" t="s">
        <v>159</v>
      </c>
      <c r="AA14" s="91" t="s">
        <v>159</v>
      </c>
      <c r="AB14" s="91" t="s">
        <v>159</v>
      </c>
      <c r="AC14" s="91" t="s">
        <v>160</v>
      </c>
      <c r="AD14" s="91" t="s">
        <v>161</v>
      </c>
      <c r="AE14" s="91" t="s">
        <v>161</v>
      </c>
      <c r="AF14" s="91" t="s">
        <v>161</v>
      </c>
      <c r="AG14" s="91" t="s">
        <v>161</v>
      </c>
      <c r="AH14" s="91" t="s">
        <v>161</v>
      </c>
      <c r="AI14" s="91" t="s">
        <v>161</v>
      </c>
      <c r="AJ14" s="91"/>
      <c r="AK14" s="91"/>
      <c r="AL14" s="91"/>
      <c r="AM14" s="91"/>
      <c r="AN14" s="91">
        <f t="shared" ref="AN14:AN16" si="3">IF(F14&amp;G14&amp;H14&amp;I14&amp;J14&amp;K14&amp;L14&amp;M14&amp;N14&amp;O14&amp;P14&amp;Q14&amp;R14&amp;S14="",0,1)</f>
        <v>0</v>
      </c>
    </row>
    <row r="15" spans="1:40" s="71" customFormat="1" ht="24.6" customHeight="1" x14ac:dyDescent="0.35">
      <c r="A15" s="78" t="s">
        <v>175</v>
      </c>
      <c r="B15" s="115"/>
      <c r="C15" s="116" t="s">
        <v>176</v>
      </c>
      <c r="D15" s="117">
        <v>1</v>
      </c>
      <c r="E15" s="82"/>
      <c r="F15" s="119"/>
      <c r="G15" s="119"/>
      <c r="H15" s="123"/>
      <c r="I15" s="111"/>
      <c r="J15" s="124"/>
      <c r="K15" s="122"/>
      <c r="L15" s="122"/>
      <c r="M15" s="114"/>
      <c r="N15" s="114"/>
      <c r="O15" s="114"/>
      <c r="P15" s="89" t="str">
        <f t="shared" si="1"/>
        <v/>
      </c>
      <c r="Q15" s="89" t="str">
        <f t="shared" si="1"/>
        <v/>
      </c>
      <c r="R15" s="89" t="str">
        <f t="shared" si="1"/>
        <v/>
      </c>
      <c r="S15" s="90" t="str">
        <f t="shared" si="2"/>
        <v/>
      </c>
      <c r="V15" s="91">
        <v>1.1000000000000001</v>
      </c>
      <c r="W15" s="91"/>
      <c r="X15" s="91">
        <v>1.1000000000000001</v>
      </c>
      <c r="Y15" s="91" t="s">
        <v>158</v>
      </c>
      <c r="Z15" s="91" t="s">
        <v>159</v>
      </c>
      <c r="AA15" s="91" t="s">
        <v>159</v>
      </c>
      <c r="AB15" s="91" t="s">
        <v>159</v>
      </c>
      <c r="AC15" s="91" t="s">
        <v>160</v>
      </c>
      <c r="AD15" s="91" t="s">
        <v>161</v>
      </c>
      <c r="AE15" s="91" t="s">
        <v>161</v>
      </c>
      <c r="AF15" s="91" t="s">
        <v>161</v>
      </c>
      <c r="AG15" s="91" t="s">
        <v>161</v>
      </c>
      <c r="AH15" s="91" t="s">
        <v>161</v>
      </c>
      <c r="AI15" s="91" t="s">
        <v>161</v>
      </c>
      <c r="AJ15" s="91"/>
      <c r="AK15" s="91"/>
      <c r="AL15" s="91"/>
      <c r="AM15" s="91"/>
      <c r="AN15" s="91">
        <f t="shared" si="3"/>
        <v>0</v>
      </c>
    </row>
    <row r="16" spans="1:40" s="71" customFormat="1" ht="24" customHeight="1" thickBot="1" x14ac:dyDescent="0.4">
      <c r="A16" s="78" t="s">
        <v>177</v>
      </c>
      <c r="B16" s="115"/>
      <c r="C16" s="116" t="s">
        <v>178</v>
      </c>
      <c r="D16" s="117">
        <v>1</v>
      </c>
      <c r="E16" s="82"/>
      <c r="F16" s="119"/>
      <c r="G16" s="119"/>
      <c r="H16" s="123"/>
      <c r="I16" s="111"/>
      <c r="J16" s="124"/>
      <c r="K16" s="122"/>
      <c r="L16" s="122"/>
      <c r="M16" s="125"/>
      <c r="N16" s="125"/>
      <c r="O16" s="125"/>
      <c r="P16" s="89" t="str">
        <f t="shared" si="1"/>
        <v/>
      </c>
      <c r="Q16" s="89" t="str">
        <f t="shared" si="1"/>
        <v/>
      </c>
      <c r="R16" s="89" t="str">
        <f t="shared" si="1"/>
        <v/>
      </c>
      <c r="S16" s="90" t="str">
        <f t="shared" si="2"/>
        <v/>
      </c>
      <c r="V16" s="91">
        <v>1.1000000000000001</v>
      </c>
      <c r="W16" s="91"/>
      <c r="X16" s="91">
        <v>1.1000000000000001</v>
      </c>
      <c r="Y16" s="91" t="s">
        <v>158</v>
      </c>
      <c r="Z16" s="91" t="s">
        <v>159</v>
      </c>
      <c r="AA16" s="91" t="s">
        <v>159</v>
      </c>
      <c r="AB16" s="91" t="s">
        <v>159</v>
      </c>
      <c r="AC16" s="91" t="s">
        <v>160</v>
      </c>
      <c r="AD16" s="91" t="s">
        <v>161</v>
      </c>
      <c r="AE16" s="91" t="s">
        <v>161</v>
      </c>
      <c r="AF16" s="91" t="s">
        <v>161</v>
      </c>
      <c r="AG16" s="91" t="s">
        <v>161</v>
      </c>
      <c r="AH16" s="91" t="s">
        <v>161</v>
      </c>
      <c r="AI16" s="91" t="s">
        <v>161</v>
      </c>
      <c r="AJ16" s="91"/>
      <c r="AK16" s="91"/>
      <c r="AL16" s="91"/>
      <c r="AM16" s="91"/>
      <c r="AN16" s="91">
        <f t="shared" si="3"/>
        <v>0</v>
      </c>
    </row>
    <row r="17" spans="1:40" s="71" customFormat="1" ht="24" customHeight="1" thickBot="1" x14ac:dyDescent="0.3">
      <c r="A17" s="60"/>
      <c r="B17" s="126"/>
      <c r="C17" s="126"/>
      <c r="D17" s="126"/>
      <c r="E17" s="1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8" t="s">
        <v>179</v>
      </c>
      <c r="Q17" s="128"/>
      <c r="R17" s="128"/>
      <c r="S17" s="129">
        <f>IF(SUM(Total1,Total2)&lt;&gt;0, SUM(Total2)/SUM(Total1,Total2), 0)</f>
        <v>3.9953241467194721E-2</v>
      </c>
      <c r="AM17" s="91"/>
    </row>
    <row r="18" spans="1:40" s="71" customFormat="1" ht="24" customHeight="1" x14ac:dyDescent="0.25">
      <c r="A18" s="60"/>
      <c r="E18" s="130"/>
      <c r="I18" s="93"/>
    </row>
    <row r="19" spans="1:40" s="71" customFormat="1" ht="46.5" customHeight="1" x14ac:dyDescent="0.25">
      <c r="A19" s="60"/>
      <c r="B19" s="131"/>
      <c r="C19" s="132"/>
      <c r="D19" s="133"/>
      <c r="E19" s="134" t="s">
        <v>154</v>
      </c>
      <c r="F19" s="135" t="s">
        <v>148</v>
      </c>
      <c r="G19" s="135" t="s">
        <v>149</v>
      </c>
      <c r="H19" s="135" t="s">
        <v>150</v>
      </c>
      <c r="I19" s="136" t="s">
        <v>143</v>
      </c>
      <c r="J19" s="137" t="s">
        <v>148</v>
      </c>
      <c r="K19" s="77" t="s">
        <v>149</v>
      </c>
      <c r="L19" s="77" t="s">
        <v>150</v>
      </c>
      <c r="M19" s="138" t="s">
        <v>165</v>
      </c>
      <c r="N19" s="139"/>
      <c r="O19" s="140"/>
      <c r="P19" s="76" t="s">
        <v>148</v>
      </c>
      <c r="Q19" s="76" t="s">
        <v>149</v>
      </c>
      <c r="R19" s="76" t="s">
        <v>150</v>
      </c>
      <c r="S19" s="76" t="s">
        <v>151</v>
      </c>
    </row>
    <row r="20" spans="1:40" s="71" customFormat="1" ht="24" customHeight="1" thickBot="1" x14ac:dyDescent="0.4">
      <c r="A20" s="78" t="s">
        <v>180</v>
      </c>
      <c r="B20" s="141" t="s">
        <v>181</v>
      </c>
      <c r="C20" s="142"/>
      <c r="D20" s="106">
        <v>1</v>
      </c>
      <c r="E20" s="82"/>
      <c r="F20" s="143"/>
      <c r="G20" s="119"/>
      <c r="H20" s="144"/>
      <c r="I20" s="111"/>
      <c r="J20" s="145"/>
      <c r="K20" s="87"/>
      <c r="L20" s="146"/>
      <c r="M20" s="114"/>
      <c r="N20" s="114"/>
      <c r="O20" s="114"/>
      <c r="P20" s="147"/>
      <c r="Q20" s="89" t="str">
        <f>IF(AND(G20="",K20="",N20=""),"",G20*(K20+N20))</f>
        <v/>
      </c>
      <c r="R20" s="147"/>
      <c r="S20" s="90" t="str">
        <f>IF(AND(P20="",Q20="",R20=""),"",SUM(P20:R20))</f>
        <v/>
      </c>
      <c r="V20" s="91">
        <v>1.1000000000000001</v>
      </c>
      <c r="W20" s="91"/>
      <c r="X20" s="91">
        <v>1.1000000000000001</v>
      </c>
      <c r="Y20" s="91" t="s">
        <v>158</v>
      </c>
      <c r="Z20" s="91" t="s">
        <v>159</v>
      </c>
      <c r="AA20" s="91" t="s">
        <v>159</v>
      </c>
      <c r="AB20" s="91" t="s">
        <v>159</v>
      </c>
      <c r="AC20" s="91" t="s">
        <v>160</v>
      </c>
      <c r="AD20" s="91" t="s">
        <v>161</v>
      </c>
      <c r="AE20" s="91" t="s">
        <v>161</v>
      </c>
      <c r="AF20" s="91" t="s">
        <v>161</v>
      </c>
      <c r="AG20" s="91" t="s">
        <v>161</v>
      </c>
      <c r="AH20" s="91" t="s">
        <v>161</v>
      </c>
      <c r="AI20" s="91" t="s">
        <v>161</v>
      </c>
      <c r="AJ20" s="91"/>
      <c r="AK20" s="91"/>
      <c r="AL20" s="91"/>
      <c r="AM20" s="91"/>
      <c r="AN20" s="91">
        <f t="shared" ref="AN20" si="4">IF(F20&amp;G20&amp;H20&amp;I20&amp;J20&amp;K20&amp;L20&amp;M20&amp;N20&amp;O20&amp;P20&amp;Q20&amp;R20&amp;S20="",0,1)</f>
        <v>0</v>
      </c>
    </row>
    <row r="21" spans="1:40" s="71" customFormat="1" ht="24" customHeight="1" thickBot="1" x14ac:dyDescent="0.3">
      <c r="A21" s="60"/>
      <c r="B21" s="148"/>
      <c r="C21" s="149" t="s">
        <v>182</v>
      </c>
      <c r="D21" s="148"/>
      <c r="E21" s="150" t="s">
        <v>141</v>
      </c>
      <c r="F21" s="148"/>
      <c r="G21" s="148"/>
      <c r="H21" s="148"/>
      <c r="I21" s="151"/>
      <c r="J21" s="148"/>
      <c r="K21" s="148"/>
      <c r="L21" s="148"/>
      <c r="M21" s="148"/>
      <c r="N21" s="148"/>
      <c r="O21" s="148"/>
      <c r="P21" s="148"/>
      <c r="Q21" s="148"/>
      <c r="R21" s="152" t="s">
        <v>183</v>
      </c>
      <c r="S21" s="153">
        <f>SUM(Total1)+SUM(Total2)+SUM(Total3)</f>
        <v>20738633.952399999</v>
      </c>
      <c r="AM21" s="91"/>
    </row>
    <row r="22" spans="1:40" s="71" customFormat="1" ht="24" customHeight="1" x14ac:dyDescent="0.25">
      <c r="A22" s="60"/>
      <c r="E22" s="130"/>
      <c r="I22" s="93"/>
    </row>
    <row r="23" spans="1:40" s="71" customFormat="1" ht="24" customHeight="1" x14ac:dyDescent="0.25">
      <c r="A23" s="60"/>
      <c r="B23" s="61" t="s">
        <v>184</v>
      </c>
      <c r="C23" s="62"/>
      <c r="D23" s="63"/>
      <c r="E23" s="64" t="s">
        <v>154</v>
      </c>
      <c r="F23" s="65" t="s">
        <v>142</v>
      </c>
      <c r="G23" s="66"/>
      <c r="H23" s="67"/>
      <c r="I23" s="63" t="s">
        <v>143</v>
      </c>
      <c r="J23" s="68" t="s">
        <v>185</v>
      </c>
      <c r="K23" s="69"/>
      <c r="L23" s="70"/>
      <c r="M23" s="154"/>
      <c r="N23" s="137"/>
      <c r="O23" s="155"/>
      <c r="P23" s="65" t="s">
        <v>146</v>
      </c>
      <c r="Q23" s="66"/>
      <c r="R23" s="66"/>
      <c r="S23" s="67"/>
    </row>
    <row r="24" spans="1:40" s="71" customFormat="1" ht="38.25" customHeight="1" x14ac:dyDescent="0.25">
      <c r="A24" s="60"/>
      <c r="B24" s="156"/>
      <c r="C24" s="157"/>
      <c r="D24" s="74"/>
      <c r="E24" s="75"/>
      <c r="F24" s="76" t="s">
        <v>148</v>
      </c>
      <c r="G24" s="76" t="s">
        <v>149</v>
      </c>
      <c r="H24" s="76" t="s">
        <v>150</v>
      </c>
      <c r="I24" s="74"/>
      <c r="J24" s="77" t="s">
        <v>148</v>
      </c>
      <c r="K24" s="77" t="s">
        <v>149</v>
      </c>
      <c r="L24" s="77" t="s">
        <v>150</v>
      </c>
      <c r="M24" s="138" t="s">
        <v>165</v>
      </c>
      <c r="N24" s="139"/>
      <c r="O24" s="140"/>
      <c r="P24" s="154" t="s">
        <v>148</v>
      </c>
      <c r="Q24" s="137" t="s">
        <v>149</v>
      </c>
      <c r="R24" s="137" t="s">
        <v>150</v>
      </c>
      <c r="S24" s="158" t="s">
        <v>151</v>
      </c>
    </row>
    <row r="25" spans="1:40" s="71" customFormat="1" ht="24" customHeight="1" x14ac:dyDescent="0.35">
      <c r="A25" s="78" t="s">
        <v>186</v>
      </c>
      <c r="B25" s="159" t="s">
        <v>187</v>
      </c>
      <c r="C25" s="159"/>
      <c r="D25" s="81">
        <v>1</v>
      </c>
      <c r="E25" s="82"/>
      <c r="F25" s="160">
        <v>7.32</v>
      </c>
      <c r="G25" s="119"/>
      <c r="H25" s="160">
        <v>7.32</v>
      </c>
      <c r="I25" s="161" t="s">
        <v>157</v>
      </c>
      <c r="J25" s="162">
        <f>1065.14*15*38+217.6</f>
        <v>607347.4</v>
      </c>
      <c r="K25" s="163"/>
      <c r="L25" s="164"/>
      <c r="M25" s="114"/>
      <c r="N25" s="114"/>
      <c r="O25" s="114"/>
      <c r="P25" s="89">
        <f>IF(AND(F25="",J25="",K25=""),"",F25*J25)</f>
        <v>4445782.9680000003</v>
      </c>
      <c r="Q25" s="89" t="str">
        <f>IF(AND(G25="",K25="",L25=""),"",G25*K25)</f>
        <v/>
      </c>
      <c r="R25" s="89">
        <f>IF(AND(H25="",L25="",O25=""),"",H25*(L25+O25))</f>
        <v>0</v>
      </c>
      <c r="S25" s="90">
        <f>IF(AND(P25="",Q25="",R25=""),"",SUM(P25:R25))</f>
        <v>4445782.9680000003</v>
      </c>
      <c r="V25" s="91">
        <v>1.1000000000000001</v>
      </c>
      <c r="W25" s="91"/>
      <c r="X25" s="91">
        <v>1.1000000000000001</v>
      </c>
      <c r="Y25" s="91" t="s">
        <v>158</v>
      </c>
      <c r="Z25" s="91" t="s">
        <v>159</v>
      </c>
      <c r="AA25" s="91" t="s">
        <v>159</v>
      </c>
      <c r="AB25" s="91" t="s">
        <v>159</v>
      </c>
      <c r="AC25" s="91" t="s">
        <v>160</v>
      </c>
      <c r="AD25" s="91" t="s">
        <v>161</v>
      </c>
      <c r="AE25" s="91" t="s">
        <v>161</v>
      </c>
      <c r="AF25" s="91" t="s">
        <v>161</v>
      </c>
      <c r="AG25" s="91" t="s">
        <v>161</v>
      </c>
      <c r="AH25" s="91" t="s">
        <v>161</v>
      </c>
      <c r="AI25" s="91" t="s">
        <v>161</v>
      </c>
      <c r="AJ25" s="91"/>
      <c r="AK25" s="91"/>
      <c r="AL25" s="91"/>
      <c r="AM25" s="91"/>
      <c r="AN25" s="91">
        <f t="shared" ref="AN25" si="5">IF(F25&amp;G25&amp;H25&amp;I25&amp;J25&amp;K25&amp;L25&amp;M25&amp;N25&amp;O25&amp;P25&amp;Q25&amp;R25&amp;S25="",0,1)</f>
        <v>1</v>
      </c>
    </row>
    <row r="26" spans="1:40" s="71" customFormat="1" ht="24" customHeight="1" x14ac:dyDescent="0.25">
      <c r="A26" s="60"/>
      <c r="C26" s="60" t="s">
        <v>162</v>
      </c>
      <c r="E26" s="92"/>
      <c r="I26" s="93"/>
    </row>
    <row r="27" spans="1:40" s="71" customFormat="1" ht="24" customHeight="1" x14ac:dyDescent="0.25">
      <c r="A27" s="60"/>
      <c r="B27" s="61" t="s">
        <v>188</v>
      </c>
      <c r="C27" s="62"/>
      <c r="D27" s="63"/>
      <c r="E27" s="64" t="s">
        <v>154</v>
      </c>
      <c r="F27" s="66" t="s">
        <v>142</v>
      </c>
      <c r="G27" s="66"/>
      <c r="H27" s="67"/>
      <c r="I27" s="63" t="s">
        <v>143</v>
      </c>
      <c r="J27" s="68" t="s">
        <v>185</v>
      </c>
      <c r="K27" s="69"/>
      <c r="L27" s="69"/>
      <c r="M27" s="69"/>
      <c r="N27" s="69"/>
      <c r="O27" s="70"/>
      <c r="P27" s="65" t="s">
        <v>146</v>
      </c>
      <c r="Q27" s="66"/>
      <c r="R27" s="66"/>
      <c r="S27" s="67"/>
    </row>
    <row r="28" spans="1:40" s="71" customFormat="1" ht="42.6" customHeight="1" x14ac:dyDescent="0.25">
      <c r="A28" s="60"/>
      <c r="B28" s="156"/>
      <c r="C28" s="157"/>
      <c r="D28" s="94"/>
      <c r="E28" s="75"/>
      <c r="F28" s="95" t="s">
        <v>148</v>
      </c>
      <c r="G28" s="95" t="s">
        <v>149</v>
      </c>
      <c r="H28" s="95" t="s">
        <v>150</v>
      </c>
      <c r="I28" s="94"/>
      <c r="J28" s="96" t="s">
        <v>148</v>
      </c>
      <c r="K28" s="96" t="s">
        <v>149</v>
      </c>
      <c r="L28" s="96" t="s">
        <v>150</v>
      </c>
      <c r="M28" s="97" t="s">
        <v>165</v>
      </c>
      <c r="N28" s="97"/>
      <c r="O28" s="97"/>
      <c r="P28" s="96" t="s">
        <v>148</v>
      </c>
      <c r="Q28" s="96" t="s">
        <v>149</v>
      </c>
      <c r="R28" s="96" t="s">
        <v>150</v>
      </c>
      <c r="S28" s="95" t="s">
        <v>151</v>
      </c>
    </row>
    <row r="29" spans="1:40" s="71" customFormat="1" ht="26.65" customHeight="1" x14ac:dyDescent="0.35">
      <c r="A29" s="60"/>
      <c r="B29" s="98" t="s">
        <v>189</v>
      </c>
      <c r="C29" s="99"/>
      <c r="D29" s="100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/>
    </row>
    <row r="30" spans="1:40" s="71" customFormat="1" ht="42" x14ac:dyDescent="0.35">
      <c r="A30" s="78" t="s">
        <v>190</v>
      </c>
      <c r="B30" s="104"/>
      <c r="C30" s="105" t="s">
        <v>168</v>
      </c>
      <c r="D30" s="106">
        <v>1</v>
      </c>
      <c r="E30" s="107" t="s">
        <v>169</v>
      </c>
      <c r="F30" s="165">
        <v>0.15</v>
      </c>
      <c r="G30" s="109"/>
      <c r="H30" s="166">
        <v>0.15</v>
      </c>
      <c r="I30" s="161" t="s">
        <v>157</v>
      </c>
      <c r="J30" s="167">
        <f>479633</f>
        <v>479633</v>
      </c>
      <c r="K30" s="113"/>
      <c r="L30" s="113"/>
      <c r="M30" s="114"/>
      <c r="N30" s="114"/>
      <c r="O30" s="114"/>
      <c r="P30" s="89">
        <f t="shared" ref="P30:R34" si="6">IF(AND(F30="",J30="",M30=""),"",F30*(J30+M30))</f>
        <v>71944.95</v>
      </c>
      <c r="Q30" s="89" t="str">
        <f t="shared" si="6"/>
        <v/>
      </c>
      <c r="R30" s="89">
        <f t="shared" si="6"/>
        <v>0</v>
      </c>
      <c r="S30" s="90">
        <f t="shared" ref="S30:S34" si="7">IF(AND(P30="",Q30="",R30=""),"",SUM(P30:R30))</f>
        <v>71944.95</v>
      </c>
      <c r="V30" s="91">
        <v>1.1000000000000001</v>
      </c>
      <c r="W30" s="91"/>
      <c r="X30" s="91">
        <v>1.1000000000000001</v>
      </c>
      <c r="Y30" s="91" t="s">
        <v>158</v>
      </c>
      <c r="Z30" s="91" t="s">
        <v>159</v>
      </c>
      <c r="AA30" s="91" t="s">
        <v>159</v>
      </c>
      <c r="AB30" s="91" t="s">
        <v>159</v>
      </c>
      <c r="AC30" s="91" t="s">
        <v>160</v>
      </c>
      <c r="AD30" s="91" t="s">
        <v>161</v>
      </c>
      <c r="AE30" s="91" t="s">
        <v>161</v>
      </c>
      <c r="AF30" s="91" t="s">
        <v>161</v>
      </c>
      <c r="AG30" s="91" t="s">
        <v>161</v>
      </c>
      <c r="AH30" s="91" t="s">
        <v>161</v>
      </c>
      <c r="AI30" s="91" t="s">
        <v>161</v>
      </c>
      <c r="AJ30" s="91"/>
      <c r="AK30" s="91"/>
      <c r="AL30" s="91"/>
      <c r="AM30" s="91"/>
      <c r="AN30" s="91">
        <f>IF(F30&amp;G30&amp;H30&amp;I30&amp;J30&amp;K30&amp;L30&amp;M30&amp;N30&amp;O30&amp;P30&amp;Q30&amp;R30&amp;S30="",0,1)</f>
        <v>1</v>
      </c>
    </row>
    <row r="31" spans="1:40" s="71" customFormat="1" ht="105" x14ac:dyDescent="0.35">
      <c r="A31" s="78" t="s">
        <v>191</v>
      </c>
      <c r="B31" s="115"/>
      <c r="C31" s="116" t="s">
        <v>171</v>
      </c>
      <c r="D31" s="117">
        <v>1</v>
      </c>
      <c r="E31" s="118" t="s">
        <v>172</v>
      </c>
      <c r="F31" s="168">
        <v>0.16</v>
      </c>
      <c r="G31" s="119"/>
      <c r="H31" s="169">
        <v>0.16</v>
      </c>
      <c r="I31" s="161" t="s">
        <v>157</v>
      </c>
      <c r="J31" s="170">
        <v>182139</v>
      </c>
      <c r="K31" s="122"/>
      <c r="L31" s="122"/>
      <c r="M31" s="114"/>
      <c r="N31" s="114"/>
      <c r="O31" s="114"/>
      <c r="P31" s="89">
        <f t="shared" si="6"/>
        <v>29142.240000000002</v>
      </c>
      <c r="Q31" s="89" t="str">
        <f t="shared" si="6"/>
        <v/>
      </c>
      <c r="R31" s="89">
        <f t="shared" si="6"/>
        <v>0</v>
      </c>
      <c r="S31" s="90">
        <f t="shared" si="7"/>
        <v>29142.240000000002</v>
      </c>
      <c r="V31" s="91">
        <v>1.1000000000000001</v>
      </c>
      <c r="W31" s="91"/>
      <c r="X31" s="91">
        <v>1.1000000000000001</v>
      </c>
      <c r="Y31" s="91" t="s">
        <v>158</v>
      </c>
      <c r="Z31" s="91" t="s">
        <v>159</v>
      </c>
      <c r="AA31" s="91" t="s">
        <v>159</v>
      </c>
      <c r="AB31" s="91" t="s">
        <v>159</v>
      </c>
      <c r="AC31" s="91" t="s">
        <v>160</v>
      </c>
      <c r="AD31" s="91" t="s">
        <v>161</v>
      </c>
      <c r="AE31" s="91" t="s">
        <v>161</v>
      </c>
      <c r="AF31" s="91" t="s">
        <v>161</v>
      </c>
      <c r="AG31" s="91" t="s">
        <v>161</v>
      </c>
      <c r="AH31" s="91" t="s">
        <v>161</v>
      </c>
      <c r="AI31" s="91" t="s">
        <v>161</v>
      </c>
      <c r="AJ31" s="91"/>
      <c r="AK31" s="91"/>
      <c r="AL31" s="91"/>
      <c r="AM31" s="91"/>
      <c r="AN31" s="91">
        <f>IF(F31&amp;G31&amp;H31&amp;I31&amp;J31&amp;K31&amp;L31&amp;M31&amp;N31&amp;O31&amp;P31&amp;Q31&amp;R31&amp;S31="",0,1)</f>
        <v>1</v>
      </c>
    </row>
    <row r="32" spans="1:40" s="71" customFormat="1" ht="24" customHeight="1" x14ac:dyDescent="0.35">
      <c r="A32" s="78" t="s">
        <v>192</v>
      </c>
      <c r="B32" s="115"/>
      <c r="C32" s="116" t="s">
        <v>174</v>
      </c>
      <c r="D32" s="117">
        <v>1</v>
      </c>
      <c r="E32" s="82"/>
      <c r="F32" s="119"/>
      <c r="G32" s="84"/>
      <c r="H32" s="123"/>
      <c r="I32" s="111"/>
      <c r="J32" s="124"/>
      <c r="K32" s="122"/>
      <c r="L32" s="122"/>
      <c r="M32" s="114"/>
      <c r="N32" s="114"/>
      <c r="O32" s="114"/>
      <c r="P32" s="89" t="str">
        <f t="shared" si="6"/>
        <v/>
      </c>
      <c r="Q32" s="89" t="str">
        <f t="shared" si="6"/>
        <v/>
      </c>
      <c r="R32" s="89" t="str">
        <f t="shared" si="6"/>
        <v/>
      </c>
      <c r="S32" s="90" t="str">
        <f t="shared" si="7"/>
        <v/>
      </c>
      <c r="V32" s="91">
        <v>1.1000000000000001</v>
      </c>
      <c r="W32" s="91"/>
      <c r="X32" s="91">
        <v>1.1000000000000001</v>
      </c>
      <c r="Y32" s="91" t="s">
        <v>158</v>
      </c>
      <c r="Z32" s="91" t="s">
        <v>159</v>
      </c>
      <c r="AA32" s="91" t="s">
        <v>159</v>
      </c>
      <c r="AB32" s="91" t="s">
        <v>159</v>
      </c>
      <c r="AC32" s="91" t="s">
        <v>160</v>
      </c>
      <c r="AD32" s="91" t="s">
        <v>161</v>
      </c>
      <c r="AE32" s="91" t="s">
        <v>161</v>
      </c>
      <c r="AF32" s="91" t="s">
        <v>161</v>
      </c>
      <c r="AG32" s="91" t="s">
        <v>161</v>
      </c>
      <c r="AH32" s="91" t="s">
        <v>161</v>
      </c>
      <c r="AI32" s="91" t="s">
        <v>161</v>
      </c>
      <c r="AJ32" s="91"/>
      <c r="AK32" s="91"/>
      <c r="AL32" s="91"/>
      <c r="AM32" s="91"/>
      <c r="AN32" s="91">
        <f t="shared" ref="AN32:AN34" si="8">IF(F32&amp;G32&amp;H32&amp;I32&amp;J32&amp;K32&amp;L32&amp;M32&amp;N32&amp;O32&amp;P32&amp;Q32&amp;R32&amp;S32="",0,1)</f>
        <v>0</v>
      </c>
    </row>
    <row r="33" spans="1:40" s="71" customFormat="1" ht="24.6" customHeight="1" x14ac:dyDescent="0.35">
      <c r="A33" s="78" t="s">
        <v>193</v>
      </c>
      <c r="B33" s="115"/>
      <c r="C33" s="116" t="s">
        <v>176</v>
      </c>
      <c r="D33" s="117">
        <v>1</v>
      </c>
      <c r="E33" s="82"/>
      <c r="F33" s="119"/>
      <c r="G33" s="119"/>
      <c r="H33" s="123"/>
      <c r="I33" s="111"/>
      <c r="J33" s="124"/>
      <c r="K33" s="122"/>
      <c r="L33" s="122"/>
      <c r="M33" s="114"/>
      <c r="N33" s="114"/>
      <c r="O33" s="114"/>
      <c r="P33" s="89" t="str">
        <f t="shared" si="6"/>
        <v/>
      </c>
      <c r="Q33" s="89" t="str">
        <f t="shared" si="6"/>
        <v/>
      </c>
      <c r="R33" s="89" t="str">
        <f t="shared" si="6"/>
        <v/>
      </c>
      <c r="S33" s="90" t="str">
        <f t="shared" si="7"/>
        <v/>
      </c>
      <c r="V33" s="91">
        <v>1.1000000000000001</v>
      </c>
      <c r="W33" s="91"/>
      <c r="X33" s="91">
        <v>1.1000000000000001</v>
      </c>
      <c r="Y33" s="91" t="s">
        <v>158</v>
      </c>
      <c r="Z33" s="91" t="s">
        <v>159</v>
      </c>
      <c r="AA33" s="91" t="s">
        <v>159</v>
      </c>
      <c r="AB33" s="91" t="s">
        <v>159</v>
      </c>
      <c r="AC33" s="91" t="s">
        <v>160</v>
      </c>
      <c r="AD33" s="91" t="s">
        <v>161</v>
      </c>
      <c r="AE33" s="91" t="s">
        <v>161</v>
      </c>
      <c r="AF33" s="91" t="s">
        <v>161</v>
      </c>
      <c r="AG33" s="91" t="s">
        <v>161</v>
      </c>
      <c r="AH33" s="91" t="s">
        <v>161</v>
      </c>
      <c r="AI33" s="91" t="s">
        <v>161</v>
      </c>
      <c r="AJ33" s="91"/>
      <c r="AK33" s="91"/>
      <c r="AL33" s="91"/>
      <c r="AM33" s="91"/>
      <c r="AN33" s="91">
        <f t="shared" si="8"/>
        <v>0</v>
      </c>
    </row>
    <row r="34" spans="1:40" s="71" customFormat="1" ht="24" customHeight="1" thickBot="1" x14ac:dyDescent="0.4">
      <c r="A34" s="78" t="s">
        <v>194</v>
      </c>
      <c r="B34" s="115"/>
      <c r="C34" s="116" t="s">
        <v>178</v>
      </c>
      <c r="D34" s="117">
        <v>1</v>
      </c>
      <c r="E34" s="82"/>
      <c r="F34" s="119"/>
      <c r="G34" s="119"/>
      <c r="H34" s="123"/>
      <c r="I34" s="111"/>
      <c r="J34" s="124"/>
      <c r="K34" s="122"/>
      <c r="L34" s="122"/>
      <c r="M34" s="125"/>
      <c r="N34" s="125"/>
      <c r="O34" s="125"/>
      <c r="P34" s="89" t="str">
        <f t="shared" si="6"/>
        <v/>
      </c>
      <c r="Q34" s="89" t="str">
        <f t="shared" si="6"/>
        <v/>
      </c>
      <c r="R34" s="89" t="str">
        <f t="shared" si="6"/>
        <v/>
      </c>
      <c r="S34" s="90" t="str">
        <f t="shared" si="7"/>
        <v/>
      </c>
      <c r="V34" s="91">
        <v>1.1000000000000001</v>
      </c>
      <c r="W34" s="91"/>
      <c r="X34" s="91">
        <v>1.1000000000000001</v>
      </c>
      <c r="Y34" s="91" t="s">
        <v>158</v>
      </c>
      <c r="Z34" s="91" t="s">
        <v>159</v>
      </c>
      <c r="AA34" s="91" t="s">
        <v>159</v>
      </c>
      <c r="AB34" s="91" t="s">
        <v>159</v>
      </c>
      <c r="AC34" s="91" t="s">
        <v>160</v>
      </c>
      <c r="AD34" s="91" t="s">
        <v>161</v>
      </c>
      <c r="AE34" s="91" t="s">
        <v>161</v>
      </c>
      <c r="AF34" s="91" t="s">
        <v>161</v>
      </c>
      <c r="AG34" s="91" t="s">
        <v>161</v>
      </c>
      <c r="AH34" s="91" t="s">
        <v>161</v>
      </c>
      <c r="AI34" s="91" t="s">
        <v>161</v>
      </c>
      <c r="AJ34" s="91"/>
      <c r="AK34" s="91"/>
      <c r="AL34" s="91"/>
      <c r="AM34" s="91"/>
      <c r="AN34" s="91">
        <f t="shared" si="8"/>
        <v>0</v>
      </c>
    </row>
    <row r="35" spans="1:40" s="71" customFormat="1" ht="24" customHeight="1" thickBot="1" x14ac:dyDescent="0.3">
      <c r="A35" s="60"/>
      <c r="B35" s="126"/>
      <c r="C35" s="126"/>
      <c r="D35" s="126"/>
      <c r="E35" s="127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8" t="s">
        <v>179</v>
      </c>
      <c r="Q35" s="128"/>
      <c r="R35" s="128"/>
      <c r="S35" s="129">
        <f>IF(SUM(Total4,Total5)&lt;&gt;0, SUM(Total5)/SUM(Total4,Total5), 0)</f>
        <v>2.2232257902096E-2</v>
      </c>
      <c r="AM35" s="91"/>
    </row>
    <row r="36" spans="1:40" s="71" customFormat="1" ht="24" customHeight="1" x14ac:dyDescent="0.25">
      <c r="A36" s="60"/>
      <c r="E36" s="130"/>
      <c r="I36" s="93"/>
    </row>
    <row r="37" spans="1:40" s="71" customFormat="1" ht="24" customHeight="1" x14ac:dyDescent="0.25">
      <c r="A37" s="60"/>
      <c r="B37" s="171"/>
      <c r="C37" s="171"/>
      <c r="D37" s="171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65" t="s">
        <v>146</v>
      </c>
      <c r="Q37" s="66"/>
      <c r="R37" s="66"/>
      <c r="S37" s="67"/>
    </row>
    <row r="38" spans="1:40" s="71" customFormat="1" ht="42.6" customHeight="1" x14ac:dyDescent="0.25">
      <c r="A38" s="60"/>
      <c r="B38" s="171"/>
      <c r="C38" s="171"/>
      <c r="D38" s="171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96" t="s">
        <v>148</v>
      </c>
      <c r="Q38" s="96" t="s">
        <v>149</v>
      </c>
      <c r="R38" s="96" t="s">
        <v>150</v>
      </c>
      <c r="S38" s="95" t="s">
        <v>151</v>
      </c>
    </row>
    <row r="39" spans="1:40" s="71" customFormat="1" ht="48" customHeight="1" thickBot="1" x14ac:dyDescent="0.3">
      <c r="A39" s="60" t="s">
        <v>195</v>
      </c>
      <c r="B39" s="173" t="s">
        <v>196</v>
      </c>
      <c r="C39" s="173"/>
      <c r="D39" s="174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6"/>
      <c r="P39" s="177"/>
      <c r="Q39" s="178"/>
      <c r="R39" s="177"/>
      <c r="S39" s="90" t="str">
        <f>IF(AND(P39="",Q39="",R39=""),"",SUM(P39:R39))</f>
        <v/>
      </c>
      <c r="V39" s="91">
        <v>1.1000000000000001</v>
      </c>
      <c r="W39" s="91"/>
      <c r="X39" s="91">
        <v>1.1000000000000001</v>
      </c>
      <c r="Y39" s="91" t="s">
        <v>158</v>
      </c>
      <c r="Z39" s="91" t="s">
        <v>159</v>
      </c>
      <c r="AA39" s="91" t="s">
        <v>159</v>
      </c>
      <c r="AB39" s="91" t="s">
        <v>159</v>
      </c>
      <c r="AC39" s="91" t="s">
        <v>160</v>
      </c>
      <c r="AD39" s="91" t="s">
        <v>161</v>
      </c>
      <c r="AE39" s="91" t="s">
        <v>161</v>
      </c>
      <c r="AF39" s="91" t="s">
        <v>161</v>
      </c>
      <c r="AG39" s="91" t="s">
        <v>161</v>
      </c>
      <c r="AH39" s="91" t="s">
        <v>161</v>
      </c>
      <c r="AI39" s="91" t="s">
        <v>161</v>
      </c>
      <c r="AJ39" s="91"/>
      <c r="AK39" s="91"/>
      <c r="AL39" s="91"/>
      <c r="AM39" s="91"/>
      <c r="AN39" s="91">
        <f t="shared" ref="AN39" si="9">IF(F39&amp;G39&amp;H39&amp;I39&amp;J39&amp;K39&amp;L39&amp;M39&amp;N39&amp;O39&amp;P39&amp;Q39&amp;R39&amp;S39="",0,1)</f>
        <v>0</v>
      </c>
    </row>
    <row r="40" spans="1:40" s="71" customFormat="1" ht="24" customHeight="1" thickBot="1" x14ac:dyDescent="0.3">
      <c r="A40" s="60"/>
      <c r="B40" s="179"/>
      <c r="C40" s="179"/>
      <c r="D40" s="179"/>
      <c r="E40" s="180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 t="s">
        <v>197</v>
      </c>
      <c r="S40" s="153">
        <f>SUM(Total4)+SUM(Total5)+SUM(Total6)</f>
        <v>4546870.1580000008</v>
      </c>
      <c r="AM40" s="91">
        <v>1015</v>
      </c>
    </row>
    <row r="41" spans="1:40" s="71" customFormat="1" ht="24" customHeight="1" x14ac:dyDescent="0.25">
      <c r="A41" s="60"/>
      <c r="C41" s="60" t="s">
        <v>162</v>
      </c>
      <c r="E41" s="92"/>
      <c r="I41" s="93"/>
    </row>
    <row r="42" spans="1:40" s="71" customFormat="1" ht="24" customHeight="1" x14ac:dyDescent="0.25">
      <c r="A42" s="60"/>
      <c r="B42" s="61" t="s">
        <v>198</v>
      </c>
      <c r="C42" s="62"/>
      <c r="D42" s="63"/>
      <c r="E42" s="64" t="s">
        <v>154</v>
      </c>
      <c r="F42" s="65" t="s">
        <v>142</v>
      </c>
      <c r="G42" s="66"/>
      <c r="H42" s="67"/>
      <c r="I42" s="63" t="s">
        <v>143</v>
      </c>
      <c r="J42" s="68" t="s">
        <v>185</v>
      </c>
      <c r="K42" s="69"/>
      <c r="L42" s="70"/>
      <c r="M42" s="154"/>
      <c r="N42" s="137"/>
      <c r="O42" s="155"/>
      <c r="P42" s="65" t="s">
        <v>146</v>
      </c>
      <c r="Q42" s="66"/>
      <c r="R42" s="66"/>
      <c r="S42" s="67"/>
    </row>
    <row r="43" spans="1:40" s="71" customFormat="1" ht="38.25" customHeight="1" x14ac:dyDescent="0.25">
      <c r="A43" s="60"/>
      <c r="B43" s="156"/>
      <c r="C43" s="157"/>
      <c r="D43" s="74"/>
      <c r="E43" s="75"/>
      <c r="F43" s="76" t="s">
        <v>148</v>
      </c>
      <c r="G43" s="76" t="s">
        <v>149</v>
      </c>
      <c r="H43" s="76" t="s">
        <v>150</v>
      </c>
      <c r="I43" s="74"/>
      <c r="J43" s="77" t="s">
        <v>148</v>
      </c>
      <c r="K43" s="77" t="s">
        <v>149</v>
      </c>
      <c r="L43" s="77" t="s">
        <v>150</v>
      </c>
      <c r="M43" s="138" t="s">
        <v>165</v>
      </c>
      <c r="N43" s="139"/>
      <c r="O43" s="140"/>
      <c r="P43" s="154" t="s">
        <v>148</v>
      </c>
      <c r="Q43" s="137" t="s">
        <v>149</v>
      </c>
      <c r="R43" s="137" t="s">
        <v>150</v>
      </c>
      <c r="S43" s="158" t="s">
        <v>151</v>
      </c>
    </row>
    <row r="44" spans="1:40" s="71" customFormat="1" ht="24" customHeight="1" x14ac:dyDescent="0.35">
      <c r="A44" s="78" t="s">
        <v>199</v>
      </c>
      <c r="B44" s="159" t="s">
        <v>200</v>
      </c>
      <c r="C44" s="159"/>
      <c r="D44" s="81">
        <v>1</v>
      </c>
      <c r="E44" s="82"/>
      <c r="F44" s="160">
        <v>7.32</v>
      </c>
      <c r="G44" s="119"/>
      <c r="H44" s="160">
        <v>7.32</v>
      </c>
      <c r="I44" s="161" t="s">
        <v>157</v>
      </c>
      <c r="J44" s="162">
        <f>937.13*15*38+191</f>
        <v>534355.1</v>
      </c>
      <c r="K44" s="163"/>
      <c r="L44" s="164"/>
      <c r="M44" s="181"/>
      <c r="N44" s="181"/>
      <c r="O44" s="181"/>
      <c r="P44" s="89">
        <f>IF(AND(F44="",J44="",K44=""),"",F44*J44)</f>
        <v>3911479.3319999999</v>
      </c>
      <c r="Q44" s="89" t="str">
        <f>IF(AND(G44="",K44="",L44=""),"",G44*K44)</f>
        <v/>
      </c>
      <c r="R44" s="89">
        <f>IF(AND(H44="",L44="",O44=""),"",H44*(L44+O44))</f>
        <v>0</v>
      </c>
      <c r="S44" s="90">
        <f>IF(AND(P44="",Q44="",R44=""),"",SUM(P44:R44))</f>
        <v>3911479.3319999999</v>
      </c>
      <c r="V44" s="91">
        <v>1.1000000000000001</v>
      </c>
      <c r="W44" s="91"/>
      <c r="X44" s="91">
        <v>1.1000000000000001</v>
      </c>
      <c r="Y44" s="91" t="s">
        <v>158</v>
      </c>
      <c r="Z44" s="91" t="s">
        <v>159</v>
      </c>
      <c r="AA44" s="91" t="s">
        <v>159</v>
      </c>
      <c r="AB44" s="91" t="s">
        <v>159</v>
      </c>
      <c r="AC44" s="91" t="s">
        <v>160</v>
      </c>
      <c r="AD44" s="91" t="s">
        <v>161</v>
      </c>
      <c r="AE44" s="91" t="s">
        <v>161</v>
      </c>
      <c r="AF44" s="91" t="s">
        <v>161</v>
      </c>
      <c r="AG44" s="91" t="s">
        <v>161</v>
      </c>
      <c r="AH44" s="91" t="s">
        <v>161</v>
      </c>
      <c r="AI44" s="91" t="s">
        <v>161</v>
      </c>
      <c r="AJ44" s="91"/>
      <c r="AK44" s="91"/>
      <c r="AL44" s="91"/>
      <c r="AM44" s="91"/>
      <c r="AN44" s="91">
        <f t="shared" ref="AN44" si="10">IF(F44&amp;G44&amp;H44&amp;I44&amp;J44&amp;K44&amp;L44&amp;M44&amp;N44&amp;O44&amp;P44&amp;Q44&amp;R44&amp;S44="",0,1)</f>
        <v>1</v>
      </c>
    </row>
    <row r="45" spans="1:40" s="71" customFormat="1" ht="24" customHeight="1" x14ac:dyDescent="0.25">
      <c r="A45" s="60"/>
      <c r="C45" s="60" t="s">
        <v>162</v>
      </c>
      <c r="E45" s="92"/>
      <c r="I45" s="93"/>
    </row>
    <row r="46" spans="1:40" s="71" customFormat="1" ht="24" customHeight="1" x14ac:dyDescent="0.25">
      <c r="A46" s="60"/>
      <c r="B46" s="61" t="s">
        <v>201</v>
      </c>
      <c r="C46" s="62"/>
      <c r="D46" s="63"/>
      <c r="E46" s="64" t="s">
        <v>154</v>
      </c>
      <c r="F46" s="66" t="s">
        <v>142</v>
      </c>
      <c r="G46" s="66"/>
      <c r="H46" s="67"/>
      <c r="I46" s="63" t="s">
        <v>143</v>
      </c>
      <c r="J46" s="68" t="s">
        <v>185</v>
      </c>
      <c r="K46" s="69"/>
      <c r="L46" s="69"/>
      <c r="M46" s="69"/>
      <c r="N46" s="69"/>
      <c r="O46" s="70"/>
      <c r="P46" s="65" t="s">
        <v>146</v>
      </c>
      <c r="Q46" s="66"/>
      <c r="R46" s="66"/>
      <c r="S46" s="67"/>
    </row>
    <row r="47" spans="1:40" s="71" customFormat="1" ht="42.6" customHeight="1" x14ac:dyDescent="0.25">
      <c r="A47" s="60"/>
      <c r="B47" s="156"/>
      <c r="C47" s="157"/>
      <c r="D47" s="94"/>
      <c r="E47" s="75"/>
      <c r="F47" s="95" t="s">
        <v>148</v>
      </c>
      <c r="G47" s="95" t="s">
        <v>149</v>
      </c>
      <c r="H47" s="95" t="s">
        <v>150</v>
      </c>
      <c r="I47" s="94"/>
      <c r="J47" s="96" t="s">
        <v>148</v>
      </c>
      <c r="K47" s="96" t="s">
        <v>149</v>
      </c>
      <c r="L47" s="96" t="s">
        <v>150</v>
      </c>
      <c r="M47" s="97" t="s">
        <v>165</v>
      </c>
      <c r="N47" s="97"/>
      <c r="O47" s="97"/>
      <c r="P47" s="96" t="s">
        <v>148</v>
      </c>
      <c r="Q47" s="96" t="s">
        <v>149</v>
      </c>
      <c r="R47" s="96" t="s">
        <v>150</v>
      </c>
      <c r="S47" s="95" t="s">
        <v>151</v>
      </c>
    </row>
    <row r="48" spans="1:40" s="71" customFormat="1" ht="26.65" customHeight="1" x14ac:dyDescent="0.35">
      <c r="A48" s="60"/>
      <c r="B48" s="98" t="s">
        <v>202</v>
      </c>
      <c r="C48" s="99"/>
      <c r="D48" s="100"/>
      <c r="E48" s="101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3"/>
    </row>
    <row r="49" spans="1:40" s="71" customFormat="1" ht="42" x14ac:dyDescent="0.35">
      <c r="A49" s="78" t="s">
        <v>203</v>
      </c>
      <c r="B49" s="104"/>
      <c r="C49" s="105" t="s">
        <v>168</v>
      </c>
      <c r="D49" s="106">
        <v>1</v>
      </c>
      <c r="E49" s="107" t="s">
        <v>169</v>
      </c>
      <c r="F49" s="165">
        <v>0.15</v>
      </c>
      <c r="G49" s="109"/>
      <c r="H49" s="166">
        <v>0.16</v>
      </c>
      <c r="I49" s="161" t="s">
        <v>157</v>
      </c>
      <c r="J49" s="167">
        <v>421990</v>
      </c>
      <c r="K49" s="113"/>
      <c r="L49" s="113"/>
      <c r="M49" s="114"/>
      <c r="N49" s="114"/>
      <c r="O49" s="114"/>
      <c r="P49" s="89">
        <f t="shared" ref="P49:R53" si="11">IF(AND(F49="",J49="",M49=""),"",F49*(J49+M49))</f>
        <v>63298.5</v>
      </c>
      <c r="Q49" s="89" t="str">
        <f t="shared" si="11"/>
        <v/>
      </c>
      <c r="R49" s="89">
        <f t="shared" si="11"/>
        <v>0</v>
      </c>
      <c r="S49" s="90">
        <f t="shared" ref="S49:S53" si="12">IF(AND(P49="",Q49="",R49=""),"",SUM(P49:R49))</f>
        <v>63298.5</v>
      </c>
      <c r="V49" s="91">
        <v>1.1000000000000001</v>
      </c>
      <c r="W49" s="91"/>
      <c r="X49" s="91">
        <v>1.1000000000000001</v>
      </c>
      <c r="Y49" s="91" t="s">
        <v>158</v>
      </c>
      <c r="Z49" s="91" t="s">
        <v>159</v>
      </c>
      <c r="AA49" s="91" t="s">
        <v>159</v>
      </c>
      <c r="AB49" s="91" t="s">
        <v>159</v>
      </c>
      <c r="AC49" s="91" t="s">
        <v>160</v>
      </c>
      <c r="AD49" s="91" t="s">
        <v>161</v>
      </c>
      <c r="AE49" s="91" t="s">
        <v>161</v>
      </c>
      <c r="AF49" s="91" t="s">
        <v>161</v>
      </c>
      <c r="AG49" s="91" t="s">
        <v>161</v>
      </c>
      <c r="AH49" s="91" t="s">
        <v>161</v>
      </c>
      <c r="AI49" s="91" t="s">
        <v>161</v>
      </c>
      <c r="AJ49" s="91"/>
      <c r="AK49" s="91"/>
      <c r="AL49" s="91"/>
      <c r="AM49" s="91"/>
      <c r="AN49" s="91">
        <f>IF(F49&amp;G49&amp;H49&amp;I49&amp;J49&amp;K49&amp;L49&amp;M49&amp;N49&amp;O49&amp;P49&amp;Q49&amp;R49&amp;S49="",0,1)</f>
        <v>1</v>
      </c>
    </row>
    <row r="50" spans="1:40" s="71" customFormat="1" ht="105" x14ac:dyDescent="0.35">
      <c r="A50" s="78" t="s">
        <v>204</v>
      </c>
      <c r="B50" s="115"/>
      <c r="C50" s="116" t="s">
        <v>171</v>
      </c>
      <c r="D50" s="117">
        <v>1</v>
      </c>
      <c r="E50" s="118" t="s">
        <v>172</v>
      </c>
      <c r="F50" s="168">
        <v>0.16</v>
      </c>
      <c r="G50" s="119"/>
      <c r="H50" s="169">
        <v>0.15</v>
      </c>
      <c r="I50" s="161" t="s">
        <v>157</v>
      </c>
      <c r="J50" s="170">
        <v>160249</v>
      </c>
      <c r="K50" s="122"/>
      <c r="L50" s="122"/>
      <c r="M50" s="114"/>
      <c r="N50" s="114"/>
      <c r="O50" s="114"/>
      <c r="P50" s="89">
        <f t="shared" si="11"/>
        <v>25639.84</v>
      </c>
      <c r="Q50" s="89" t="str">
        <f t="shared" si="11"/>
        <v/>
      </c>
      <c r="R50" s="89">
        <f t="shared" si="11"/>
        <v>0</v>
      </c>
      <c r="S50" s="90">
        <f t="shared" si="12"/>
        <v>25639.84</v>
      </c>
      <c r="V50" s="91">
        <v>1.1000000000000001</v>
      </c>
      <c r="W50" s="91"/>
      <c r="X50" s="91">
        <v>1.1000000000000001</v>
      </c>
      <c r="Y50" s="91" t="s">
        <v>158</v>
      </c>
      <c r="Z50" s="91" t="s">
        <v>159</v>
      </c>
      <c r="AA50" s="91" t="s">
        <v>159</v>
      </c>
      <c r="AB50" s="91" t="s">
        <v>159</v>
      </c>
      <c r="AC50" s="91" t="s">
        <v>160</v>
      </c>
      <c r="AD50" s="91" t="s">
        <v>161</v>
      </c>
      <c r="AE50" s="91" t="s">
        <v>161</v>
      </c>
      <c r="AF50" s="91" t="s">
        <v>161</v>
      </c>
      <c r="AG50" s="91" t="s">
        <v>161</v>
      </c>
      <c r="AH50" s="91" t="s">
        <v>161</v>
      </c>
      <c r="AI50" s="91" t="s">
        <v>161</v>
      </c>
      <c r="AJ50" s="91"/>
      <c r="AK50" s="91"/>
      <c r="AL50" s="91"/>
      <c r="AM50" s="91"/>
      <c r="AN50" s="91">
        <f>IF(F50&amp;G50&amp;H50&amp;I50&amp;J50&amp;K50&amp;L50&amp;M50&amp;N50&amp;O50&amp;P50&amp;Q50&amp;R50&amp;S50="",0,1)</f>
        <v>1</v>
      </c>
    </row>
    <row r="51" spans="1:40" s="71" customFormat="1" ht="24" customHeight="1" x14ac:dyDescent="0.35">
      <c r="A51" s="78" t="s">
        <v>205</v>
      </c>
      <c r="B51" s="115"/>
      <c r="C51" s="116" t="s">
        <v>174</v>
      </c>
      <c r="D51" s="117">
        <v>1</v>
      </c>
      <c r="E51" s="82"/>
      <c r="F51" s="119"/>
      <c r="G51" s="84"/>
      <c r="H51" s="123"/>
      <c r="I51" s="111"/>
      <c r="J51" s="124"/>
      <c r="K51" s="122"/>
      <c r="L51" s="122"/>
      <c r="M51" s="114"/>
      <c r="N51" s="114"/>
      <c r="O51" s="114"/>
      <c r="P51" s="89" t="str">
        <f t="shared" si="11"/>
        <v/>
      </c>
      <c r="Q51" s="89" t="str">
        <f t="shared" si="11"/>
        <v/>
      </c>
      <c r="R51" s="89" t="str">
        <f t="shared" si="11"/>
        <v/>
      </c>
      <c r="S51" s="90" t="str">
        <f t="shared" si="12"/>
        <v/>
      </c>
      <c r="V51" s="91">
        <v>1.1000000000000001</v>
      </c>
      <c r="W51" s="91"/>
      <c r="X51" s="91">
        <v>1.1000000000000001</v>
      </c>
      <c r="Y51" s="91" t="s">
        <v>158</v>
      </c>
      <c r="Z51" s="91" t="s">
        <v>159</v>
      </c>
      <c r="AA51" s="91" t="s">
        <v>159</v>
      </c>
      <c r="AB51" s="91" t="s">
        <v>159</v>
      </c>
      <c r="AC51" s="91" t="s">
        <v>160</v>
      </c>
      <c r="AD51" s="91" t="s">
        <v>161</v>
      </c>
      <c r="AE51" s="91" t="s">
        <v>161</v>
      </c>
      <c r="AF51" s="91" t="s">
        <v>161</v>
      </c>
      <c r="AG51" s="91" t="s">
        <v>161</v>
      </c>
      <c r="AH51" s="91" t="s">
        <v>161</v>
      </c>
      <c r="AI51" s="91" t="s">
        <v>161</v>
      </c>
      <c r="AJ51" s="91"/>
      <c r="AK51" s="91"/>
      <c r="AL51" s="91"/>
      <c r="AM51" s="91"/>
      <c r="AN51" s="91">
        <f t="shared" ref="AN51:AN53" si="13">IF(F51&amp;G51&amp;H51&amp;I51&amp;J51&amp;K51&amp;L51&amp;M51&amp;N51&amp;O51&amp;P51&amp;Q51&amp;R51&amp;S51="",0,1)</f>
        <v>0</v>
      </c>
    </row>
    <row r="52" spans="1:40" s="71" customFormat="1" ht="24.6" customHeight="1" x14ac:dyDescent="0.35">
      <c r="A52" s="78" t="s">
        <v>206</v>
      </c>
      <c r="B52" s="115"/>
      <c r="C52" s="116" t="s">
        <v>176</v>
      </c>
      <c r="D52" s="117">
        <v>1</v>
      </c>
      <c r="E52" s="82"/>
      <c r="F52" s="119"/>
      <c r="G52" s="119"/>
      <c r="H52" s="123"/>
      <c r="I52" s="111"/>
      <c r="J52" s="124"/>
      <c r="K52" s="122"/>
      <c r="L52" s="122"/>
      <c r="M52" s="114"/>
      <c r="N52" s="114"/>
      <c r="O52" s="114"/>
      <c r="P52" s="89" t="str">
        <f t="shared" si="11"/>
        <v/>
      </c>
      <c r="Q52" s="89" t="str">
        <f t="shared" si="11"/>
        <v/>
      </c>
      <c r="R52" s="89" t="str">
        <f t="shared" si="11"/>
        <v/>
      </c>
      <c r="S52" s="90" t="str">
        <f t="shared" si="12"/>
        <v/>
      </c>
      <c r="V52" s="91">
        <v>1.1000000000000001</v>
      </c>
      <c r="W52" s="91"/>
      <c r="X52" s="91">
        <v>1.1000000000000001</v>
      </c>
      <c r="Y52" s="91" t="s">
        <v>158</v>
      </c>
      <c r="Z52" s="91" t="s">
        <v>159</v>
      </c>
      <c r="AA52" s="91" t="s">
        <v>159</v>
      </c>
      <c r="AB52" s="91" t="s">
        <v>159</v>
      </c>
      <c r="AC52" s="91" t="s">
        <v>160</v>
      </c>
      <c r="AD52" s="91" t="s">
        <v>161</v>
      </c>
      <c r="AE52" s="91" t="s">
        <v>161</v>
      </c>
      <c r="AF52" s="91" t="s">
        <v>161</v>
      </c>
      <c r="AG52" s="91" t="s">
        <v>161</v>
      </c>
      <c r="AH52" s="91" t="s">
        <v>161</v>
      </c>
      <c r="AI52" s="91" t="s">
        <v>161</v>
      </c>
      <c r="AJ52" s="91"/>
      <c r="AK52" s="91"/>
      <c r="AL52" s="91"/>
      <c r="AM52" s="91"/>
      <c r="AN52" s="91">
        <f t="shared" si="13"/>
        <v>0</v>
      </c>
    </row>
    <row r="53" spans="1:40" s="71" customFormat="1" ht="24" customHeight="1" thickBot="1" x14ac:dyDescent="0.4">
      <c r="A53" s="78" t="s">
        <v>207</v>
      </c>
      <c r="B53" s="115"/>
      <c r="C53" s="116" t="s">
        <v>178</v>
      </c>
      <c r="D53" s="117">
        <v>1</v>
      </c>
      <c r="E53" s="82"/>
      <c r="F53" s="119"/>
      <c r="G53" s="119"/>
      <c r="H53" s="123"/>
      <c r="I53" s="111"/>
      <c r="J53" s="124"/>
      <c r="K53" s="122"/>
      <c r="L53" s="122"/>
      <c r="M53" s="125"/>
      <c r="N53" s="125"/>
      <c r="O53" s="125"/>
      <c r="P53" s="89" t="str">
        <f t="shared" si="11"/>
        <v/>
      </c>
      <c r="Q53" s="89" t="str">
        <f t="shared" si="11"/>
        <v/>
      </c>
      <c r="R53" s="89" t="str">
        <f t="shared" si="11"/>
        <v/>
      </c>
      <c r="S53" s="90" t="str">
        <f t="shared" si="12"/>
        <v/>
      </c>
      <c r="V53" s="91">
        <v>1.1000000000000001</v>
      </c>
      <c r="W53" s="91"/>
      <c r="X53" s="91">
        <v>1.1000000000000001</v>
      </c>
      <c r="Y53" s="91" t="s">
        <v>158</v>
      </c>
      <c r="Z53" s="91" t="s">
        <v>159</v>
      </c>
      <c r="AA53" s="91" t="s">
        <v>159</v>
      </c>
      <c r="AB53" s="91" t="s">
        <v>159</v>
      </c>
      <c r="AC53" s="91" t="s">
        <v>160</v>
      </c>
      <c r="AD53" s="91" t="s">
        <v>161</v>
      </c>
      <c r="AE53" s="91" t="s">
        <v>161</v>
      </c>
      <c r="AF53" s="91" t="s">
        <v>161</v>
      </c>
      <c r="AG53" s="91" t="s">
        <v>161</v>
      </c>
      <c r="AH53" s="91" t="s">
        <v>161</v>
      </c>
      <c r="AI53" s="91" t="s">
        <v>161</v>
      </c>
      <c r="AJ53" s="91"/>
      <c r="AK53" s="91"/>
      <c r="AL53" s="91"/>
      <c r="AM53" s="91"/>
      <c r="AN53" s="91">
        <f t="shared" si="13"/>
        <v>0</v>
      </c>
    </row>
    <row r="54" spans="1:40" s="71" customFormat="1" ht="24" customHeight="1" thickBot="1" x14ac:dyDescent="0.3">
      <c r="A54" s="60"/>
      <c r="B54" s="126"/>
      <c r="C54" s="126"/>
      <c r="D54" s="126"/>
      <c r="E54" s="127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8" t="s">
        <v>179</v>
      </c>
      <c r="Q54" s="128"/>
      <c r="R54" s="128"/>
      <c r="S54" s="129">
        <f>IF(SUM(Total7,Total8)&lt;&gt;0, SUM(Total8)/SUM(Total7,Total8), 0)</f>
        <v>2.223226355150448E-2</v>
      </c>
      <c r="AM54" s="91"/>
    </row>
    <row r="55" spans="1:40" s="71" customFormat="1" ht="24" customHeight="1" thickBot="1" x14ac:dyDescent="0.3">
      <c r="A55" s="60"/>
      <c r="B55" s="179"/>
      <c r="C55" s="179"/>
      <c r="D55" s="179"/>
      <c r="E55" s="180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 t="s">
        <v>208</v>
      </c>
      <c r="S55" s="153">
        <f>SUM(Total7)+SUM(Total8)</f>
        <v>4000417.6719999998</v>
      </c>
      <c r="AM55" s="91">
        <v>1015</v>
      </c>
    </row>
    <row r="56" spans="1:40" s="71" customFormat="1" ht="24" customHeight="1" x14ac:dyDescent="0.25">
      <c r="A56" s="60"/>
      <c r="E56" s="130"/>
      <c r="I56" s="93"/>
    </row>
    <row r="57" spans="1:40" s="71" customFormat="1" ht="24" customHeight="1" x14ac:dyDescent="0.25">
      <c r="A57" s="60"/>
      <c r="B57" s="61" t="s">
        <v>209</v>
      </c>
      <c r="C57" s="62"/>
      <c r="D57" s="63"/>
      <c r="E57" s="64" t="s">
        <v>154</v>
      </c>
      <c r="F57" s="65" t="s">
        <v>142</v>
      </c>
      <c r="G57" s="66"/>
      <c r="H57" s="67"/>
      <c r="I57" s="63" t="s">
        <v>143</v>
      </c>
      <c r="J57" s="68" t="s">
        <v>185</v>
      </c>
      <c r="K57" s="69"/>
      <c r="L57" s="70"/>
      <c r="M57" s="154"/>
      <c r="N57" s="137"/>
      <c r="O57" s="155"/>
      <c r="P57" s="65" t="s">
        <v>146</v>
      </c>
      <c r="Q57" s="66"/>
      <c r="R57" s="66"/>
      <c r="S57" s="67"/>
    </row>
    <row r="58" spans="1:40" s="71" customFormat="1" ht="38.25" customHeight="1" x14ac:dyDescent="0.25">
      <c r="A58" s="60"/>
      <c r="B58" s="156"/>
      <c r="C58" s="157"/>
      <c r="D58" s="74"/>
      <c r="E58" s="75"/>
      <c r="F58" s="76" t="s">
        <v>148</v>
      </c>
      <c r="G58" s="76" t="s">
        <v>149</v>
      </c>
      <c r="H58" s="76" t="s">
        <v>150</v>
      </c>
      <c r="I58" s="74"/>
      <c r="J58" s="77" t="s">
        <v>148</v>
      </c>
      <c r="K58" s="77" t="s">
        <v>149</v>
      </c>
      <c r="L58" s="77" t="s">
        <v>150</v>
      </c>
      <c r="M58" s="138" t="s">
        <v>165</v>
      </c>
      <c r="N58" s="139"/>
      <c r="O58" s="140"/>
      <c r="P58" s="96" t="s">
        <v>148</v>
      </c>
      <c r="Q58" s="96" t="s">
        <v>149</v>
      </c>
      <c r="R58" s="96" t="s">
        <v>150</v>
      </c>
      <c r="S58" s="95" t="s">
        <v>151</v>
      </c>
    </row>
    <row r="59" spans="1:40" s="71" customFormat="1" ht="24" customHeight="1" x14ac:dyDescent="0.35">
      <c r="A59" s="78" t="s">
        <v>210</v>
      </c>
      <c r="B59" s="159" t="s">
        <v>211</v>
      </c>
      <c r="C59" s="159"/>
      <c r="D59" s="81">
        <v>1</v>
      </c>
      <c r="E59" s="82"/>
      <c r="F59" s="160">
        <v>10.15</v>
      </c>
      <c r="G59" s="119"/>
      <c r="H59" s="160">
        <v>10.15</v>
      </c>
      <c r="I59" s="161" t="s">
        <v>157</v>
      </c>
      <c r="J59" s="162">
        <f>319844-147.36</f>
        <v>319696.64000000001</v>
      </c>
      <c r="K59" s="163"/>
      <c r="L59" s="164"/>
      <c r="M59" s="181"/>
      <c r="N59" s="181"/>
      <c r="O59" s="181"/>
      <c r="P59" s="89">
        <f>IF(AND(F59="",J59="",K59=""),"",F59*J59)</f>
        <v>3244920.8960000002</v>
      </c>
      <c r="Q59" s="89" t="str">
        <f>IF(AND(G59="",K59="",L59=""),"",G59*K59)</f>
        <v/>
      </c>
      <c r="R59" s="89">
        <f>IF(AND(H59="",L59="",O59=""),"",H59*(L59+O59))</f>
        <v>0</v>
      </c>
      <c r="S59" s="90">
        <f>IF(AND(P59="",Q59="",R59=""),"",SUM(P59:R59))</f>
        <v>3244920.8960000002</v>
      </c>
      <c r="V59" s="91">
        <v>1.1000000000000001</v>
      </c>
      <c r="W59" s="91"/>
      <c r="X59" s="91">
        <v>1.1000000000000001</v>
      </c>
      <c r="Y59" s="91" t="s">
        <v>158</v>
      </c>
      <c r="Z59" s="91" t="s">
        <v>159</v>
      </c>
      <c r="AA59" s="91" t="s">
        <v>159</v>
      </c>
      <c r="AB59" s="91" t="s">
        <v>159</v>
      </c>
      <c r="AC59" s="91" t="s">
        <v>160</v>
      </c>
      <c r="AD59" s="91" t="s">
        <v>161</v>
      </c>
      <c r="AE59" s="91" t="s">
        <v>161</v>
      </c>
      <c r="AF59" s="91" t="s">
        <v>161</v>
      </c>
      <c r="AG59" s="91" t="s">
        <v>161</v>
      </c>
      <c r="AH59" s="91" t="s">
        <v>161</v>
      </c>
      <c r="AI59" s="91" t="s">
        <v>161</v>
      </c>
      <c r="AJ59" s="91"/>
      <c r="AK59" s="91"/>
      <c r="AL59" s="91"/>
      <c r="AM59" s="91"/>
      <c r="AN59" s="91">
        <f t="shared" ref="AN59" si="14">IF(F59&amp;G59&amp;H59&amp;I59&amp;J59&amp;K59&amp;L59&amp;M59&amp;N59&amp;O59&amp;P59&amp;Q59&amp;R59&amp;S59="",0,1)</f>
        <v>1</v>
      </c>
    </row>
    <row r="60" spans="1:40" s="71" customFormat="1" ht="24" customHeight="1" x14ac:dyDescent="0.25">
      <c r="A60" s="60"/>
      <c r="C60" s="60" t="s">
        <v>162</v>
      </c>
      <c r="E60" s="92"/>
      <c r="I60" s="93"/>
    </row>
    <row r="61" spans="1:40" s="71" customFormat="1" ht="24" customHeight="1" x14ac:dyDescent="0.25">
      <c r="A61" s="60"/>
      <c r="B61" s="61" t="s">
        <v>212</v>
      </c>
      <c r="C61" s="62"/>
      <c r="D61" s="63"/>
      <c r="E61" s="64" t="s">
        <v>154</v>
      </c>
      <c r="F61" s="66" t="s">
        <v>142</v>
      </c>
      <c r="G61" s="66"/>
      <c r="H61" s="67"/>
      <c r="I61" s="63" t="s">
        <v>143</v>
      </c>
      <c r="J61" s="68" t="s">
        <v>185</v>
      </c>
      <c r="K61" s="69"/>
      <c r="L61" s="69"/>
      <c r="M61" s="69"/>
      <c r="N61" s="69"/>
      <c r="O61" s="70"/>
      <c r="P61" s="65" t="s">
        <v>146</v>
      </c>
      <c r="Q61" s="66"/>
      <c r="R61" s="66"/>
      <c r="S61" s="67"/>
    </row>
    <row r="62" spans="1:40" s="71" customFormat="1" ht="42.6" customHeight="1" x14ac:dyDescent="0.25">
      <c r="A62" s="60"/>
      <c r="B62" s="156"/>
      <c r="C62" s="157"/>
      <c r="D62" s="94"/>
      <c r="E62" s="75"/>
      <c r="F62" s="95" t="s">
        <v>148</v>
      </c>
      <c r="G62" s="95" t="s">
        <v>149</v>
      </c>
      <c r="H62" s="95" t="s">
        <v>150</v>
      </c>
      <c r="I62" s="94"/>
      <c r="J62" s="96" t="s">
        <v>148</v>
      </c>
      <c r="K62" s="96" t="s">
        <v>149</v>
      </c>
      <c r="L62" s="96" t="s">
        <v>150</v>
      </c>
      <c r="M62" s="97" t="s">
        <v>165</v>
      </c>
      <c r="N62" s="97"/>
      <c r="O62" s="97"/>
      <c r="P62" s="96" t="s">
        <v>148</v>
      </c>
      <c r="Q62" s="96" t="s">
        <v>149</v>
      </c>
      <c r="R62" s="96" t="s">
        <v>150</v>
      </c>
      <c r="S62" s="95" t="s">
        <v>151</v>
      </c>
    </row>
    <row r="63" spans="1:40" s="71" customFormat="1" ht="26.65" customHeight="1" x14ac:dyDescent="0.35">
      <c r="A63" s="60"/>
      <c r="B63" s="98" t="s">
        <v>213</v>
      </c>
      <c r="C63" s="99"/>
      <c r="D63" s="100"/>
      <c r="E63" s="101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3"/>
    </row>
    <row r="64" spans="1:40" s="71" customFormat="1" ht="24" customHeight="1" x14ac:dyDescent="0.35">
      <c r="A64" s="78" t="s">
        <v>214</v>
      </c>
      <c r="B64" s="104"/>
      <c r="C64" s="105" t="s">
        <v>168</v>
      </c>
      <c r="D64" s="106">
        <v>1</v>
      </c>
      <c r="E64" s="107" t="s">
        <v>169</v>
      </c>
      <c r="F64" s="165">
        <v>0.15</v>
      </c>
      <c r="G64" s="109"/>
      <c r="H64" s="165">
        <v>0.15</v>
      </c>
      <c r="I64" s="161" t="s">
        <v>157</v>
      </c>
      <c r="J64" s="167">
        <v>252677</v>
      </c>
      <c r="K64" s="113"/>
      <c r="L64" s="113"/>
      <c r="M64" s="114"/>
      <c r="N64" s="114"/>
      <c r="O64" s="114"/>
      <c r="P64" s="89">
        <f t="shared" ref="P64:R68" si="15">IF(AND(F64="",J64="",M64=""),"",F64*(J64+M64))</f>
        <v>37901.549999999996</v>
      </c>
      <c r="Q64" s="89" t="str">
        <f t="shared" si="15"/>
        <v/>
      </c>
      <c r="R64" s="89">
        <f t="shared" si="15"/>
        <v>0</v>
      </c>
      <c r="S64" s="90">
        <f t="shared" ref="S64:S68" si="16">IF(AND(P64="",Q64="",R64=""),"",SUM(P64:R64))</f>
        <v>37901.549999999996</v>
      </c>
      <c r="V64" s="91">
        <v>1.1000000000000001</v>
      </c>
      <c r="W64" s="91"/>
      <c r="X64" s="91">
        <v>1.1000000000000001</v>
      </c>
      <c r="Y64" s="91" t="s">
        <v>158</v>
      </c>
      <c r="Z64" s="91" t="s">
        <v>159</v>
      </c>
      <c r="AA64" s="91" t="s">
        <v>159</v>
      </c>
      <c r="AB64" s="91" t="s">
        <v>159</v>
      </c>
      <c r="AC64" s="91" t="s">
        <v>160</v>
      </c>
      <c r="AD64" s="91" t="s">
        <v>161</v>
      </c>
      <c r="AE64" s="91" t="s">
        <v>161</v>
      </c>
      <c r="AF64" s="91" t="s">
        <v>161</v>
      </c>
      <c r="AG64" s="91" t="s">
        <v>161</v>
      </c>
      <c r="AH64" s="91" t="s">
        <v>161</v>
      </c>
      <c r="AI64" s="91" t="s">
        <v>161</v>
      </c>
      <c r="AJ64" s="91"/>
      <c r="AK64" s="91"/>
      <c r="AL64" s="91"/>
      <c r="AM64" s="91"/>
      <c r="AN64" s="91">
        <f>IF(F64&amp;G64&amp;H64&amp;I64&amp;J64&amp;K64&amp;L64&amp;M64&amp;N64&amp;O64&amp;P64&amp;Q64&amp;R64&amp;S64="",0,1)</f>
        <v>1</v>
      </c>
    </row>
    <row r="65" spans="1:40" s="71" customFormat="1" ht="24" customHeight="1" x14ac:dyDescent="0.35">
      <c r="A65" s="78" t="s">
        <v>215</v>
      </c>
      <c r="B65" s="115"/>
      <c r="C65" s="116" t="s">
        <v>171</v>
      </c>
      <c r="D65" s="117">
        <v>1</v>
      </c>
      <c r="E65" s="118" t="s">
        <v>172</v>
      </c>
      <c r="F65" s="168">
        <v>0.16</v>
      </c>
      <c r="G65" s="119"/>
      <c r="H65" s="168">
        <v>0.16</v>
      </c>
      <c r="I65" s="161" t="s">
        <v>157</v>
      </c>
      <c r="J65" s="170">
        <v>95953</v>
      </c>
      <c r="K65" s="122"/>
      <c r="L65" s="122"/>
      <c r="M65" s="114"/>
      <c r="N65" s="114"/>
      <c r="O65" s="114"/>
      <c r="P65" s="89">
        <f t="shared" si="15"/>
        <v>15352.48</v>
      </c>
      <c r="Q65" s="89" t="str">
        <f t="shared" si="15"/>
        <v/>
      </c>
      <c r="R65" s="89">
        <f t="shared" si="15"/>
        <v>0</v>
      </c>
      <c r="S65" s="90">
        <f t="shared" si="16"/>
        <v>15352.48</v>
      </c>
      <c r="V65" s="91">
        <v>1.1000000000000001</v>
      </c>
      <c r="W65" s="91"/>
      <c r="X65" s="91">
        <v>1.1000000000000001</v>
      </c>
      <c r="Y65" s="91" t="s">
        <v>158</v>
      </c>
      <c r="Z65" s="91" t="s">
        <v>159</v>
      </c>
      <c r="AA65" s="91" t="s">
        <v>159</v>
      </c>
      <c r="AB65" s="91" t="s">
        <v>159</v>
      </c>
      <c r="AC65" s="91" t="s">
        <v>160</v>
      </c>
      <c r="AD65" s="91" t="s">
        <v>161</v>
      </c>
      <c r="AE65" s="91" t="s">
        <v>161</v>
      </c>
      <c r="AF65" s="91" t="s">
        <v>161</v>
      </c>
      <c r="AG65" s="91" t="s">
        <v>161</v>
      </c>
      <c r="AH65" s="91" t="s">
        <v>161</v>
      </c>
      <c r="AI65" s="91" t="s">
        <v>161</v>
      </c>
      <c r="AJ65" s="91"/>
      <c r="AK65" s="91"/>
      <c r="AL65" s="91"/>
      <c r="AM65" s="91"/>
      <c r="AN65" s="91">
        <f>IF(F65&amp;G65&amp;H65&amp;I65&amp;J65&amp;K65&amp;L65&amp;M65&amp;N65&amp;O65&amp;P65&amp;Q65&amp;R65&amp;S65="",0,1)</f>
        <v>1</v>
      </c>
    </row>
    <row r="66" spans="1:40" s="71" customFormat="1" ht="24" customHeight="1" x14ac:dyDescent="0.35">
      <c r="A66" s="78" t="s">
        <v>216</v>
      </c>
      <c r="B66" s="115"/>
      <c r="C66" s="116" t="s">
        <v>174</v>
      </c>
      <c r="D66" s="117">
        <v>1</v>
      </c>
      <c r="E66" s="82"/>
      <c r="F66" s="119"/>
      <c r="G66" s="84"/>
      <c r="H66" s="123"/>
      <c r="I66" s="111"/>
      <c r="J66" s="124"/>
      <c r="K66" s="122"/>
      <c r="L66" s="122"/>
      <c r="M66" s="114"/>
      <c r="N66" s="114"/>
      <c r="O66" s="114"/>
      <c r="P66" s="89" t="str">
        <f t="shared" si="15"/>
        <v/>
      </c>
      <c r="Q66" s="89" t="str">
        <f t="shared" si="15"/>
        <v/>
      </c>
      <c r="R66" s="89" t="str">
        <f t="shared" si="15"/>
        <v/>
      </c>
      <c r="S66" s="90" t="str">
        <f t="shared" si="16"/>
        <v/>
      </c>
      <c r="V66" s="91">
        <v>1.1000000000000001</v>
      </c>
      <c r="W66" s="91"/>
      <c r="X66" s="91">
        <v>1.1000000000000001</v>
      </c>
      <c r="Y66" s="91" t="s">
        <v>158</v>
      </c>
      <c r="Z66" s="91" t="s">
        <v>159</v>
      </c>
      <c r="AA66" s="91" t="s">
        <v>159</v>
      </c>
      <c r="AB66" s="91" t="s">
        <v>159</v>
      </c>
      <c r="AC66" s="91" t="s">
        <v>160</v>
      </c>
      <c r="AD66" s="91" t="s">
        <v>161</v>
      </c>
      <c r="AE66" s="91" t="s">
        <v>161</v>
      </c>
      <c r="AF66" s="91" t="s">
        <v>161</v>
      </c>
      <c r="AG66" s="91" t="s">
        <v>161</v>
      </c>
      <c r="AH66" s="91" t="s">
        <v>161</v>
      </c>
      <c r="AI66" s="91" t="s">
        <v>161</v>
      </c>
      <c r="AJ66" s="91"/>
      <c r="AK66" s="91"/>
      <c r="AL66" s="91"/>
      <c r="AM66" s="91"/>
      <c r="AN66" s="91">
        <f t="shared" ref="AN66:AN68" si="17">IF(F66&amp;G66&amp;H66&amp;I66&amp;J66&amp;K66&amp;L66&amp;M66&amp;N66&amp;O66&amp;P66&amp;Q66&amp;R66&amp;S66="",0,1)</f>
        <v>0</v>
      </c>
    </row>
    <row r="67" spans="1:40" s="71" customFormat="1" ht="24.6" customHeight="1" x14ac:dyDescent="0.35">
      <c r="A67" s="78" t="s">
        <v>217</v>
      </c>
      <c r="B67" s="115"/>
      <c r="C67" s="116" t="s">
        <v>176</v>
      </c>
      <c r="D67" s="117">
        <v>1</v>
      </c>
      <c r="E67" s="82"/>
      <c r="F67" s="119"/>
      <c r="G67" s="119"/>
      <c r="H67" s="123"/>
      <c r="I67" s="111"/>
      <c r="J67" s="124"/>
      <c r="K67" s="122"/>
      <c r="L67" s="122"/>
      <c r="M67" s="114"/>
      <c r="N67" s="114"/>
      <c r="O67" s="114"/>
      <c r="P67" s="89" t="str">
        <f t="shared" si="15"/>
        <v/>
      </c>
      <c r="Q67" s="89" t="str">
        <f t="shared" si="15"/>
        <v/>
      </c>
      <c r="R67" s="89" t="str">
        <f t="shared" si="15"/>
        <v/>
      </c>
      <c r="S67" s="90" t="str">
        <f t="shared" si="16"/>
        <v/>
      </c>
      <c r="V67" s="91">
        <v>1.1000000000000001</v>
      </c>
      <c r="W67" s="91"/>
      <c r="X67" s="91">
        <v>1.1000000000000001</v>
      </c>
      <c r="Y67" s="91" t="s">
        <v>158</v>
      </c>
      <c r="Z67" s="91" t="s">
        <v>159</v>
      </c>
      <c r="AA67" s="91" t="s">
        <v>159</v>
      </c>
      <c r="AB67" s="91" t="s">
        <v>159</v>
      </c>
      <c r="AC67" s="91" t="s">
        <v>160</v>
      </c>
      <c r="AD67" s="91" t="s">
        <v>161</v>
      </c>
      <c r="AE67" s="91" t="s">
        <v>161</v>
      </c>
      <c r="AF67" s="91" t="s">
        <v>161</v>
      </c>
      <c r="AG67" s="91" t="s">
        <v>161</v>
      </c>
      <c r="AH67" s="91" t="s">
        <v>161</v>
      </c>
      <c r="AI67" s="91" t="s">
        <v>161</v>
      </c>
      <c r="AJ67" s="91"/>
      <c r="AK67" s="91"/>
      <c r="AL67" s="91"/>
      <c r="AM67" s="91"/>
      <c r="AN67" s="91">
        <f t="shared" si="17"/>
        <v>0</v>
      </c>
    </row>
    <row r="68" spans="1:40" s="71" customFormat="1" ht="24" customHeight="1" thickBot="1" x14ac:dyDescent="0.4">
      <c r="A68" s="78" t="s">
        <v>218</v>
      </c>
      <c r="B68" s="115"/>
      <c r="C68" s="116" t="s">
        <v>178</v>
      </c>
      <c r="D68" s="117">
        <v>1</v>
      </c>
      <c r="E68" s="82"/>
      <c r="F68" s="119"/>
      <c r="G68" s="119"/>
      <c r="H68" s="123"/>
      <c r="I68" s="111"/>
      <c r="J68" s="124"/>
      <c r="K68" s="122"/>
      <c r="L68" s="122"/>
      <c r="M68" s="125"/>
      <c r="N68" s="125"/>
      <c r="O68" s="125"/>
      <c r="P68" s="89" t="str">
        <f t="shared" si="15"/>
        <v/>
      </c>
      <c r="Q68" s="89" t="str">
        <f t="shared" si="15"/>
        <v/>
      </c>
      <c r="R68" s="89" t="str">
        <f t="shared" si="15"/>
        <v/>
      </c>
      <c r="S68" s="90" t="str">
        <f t="shared" si="16"/>
        <v/>
      </c>
      <c r="V68" s="91">
        <v>1.1000000000000001</v>
      </c>
      <c r="W68" s="91"/>
      <c r="X68" s="91">
        <v>1.1000000000000001</v>
      </c>
      <c r="Y68" s="91" t="s">
        <v>158</v>
      </c>
      <c r="Z68" s="91" t="s">
        <v>159</v>
      </c>
      <c r="AA68" s="91" t="s">
        <v>159</v>
      </c>
      <c r="AB68" s="91" t="s">
        <v>159</v>
      </c>
      <c r="AC68" s="91" t="s">
        <v>160</v>
      </c>
      <c r="AD68" s="91" t="s">
        <v>161</v>
      </c>
      <c r="AE68" s="91" t="s">
        <v>161</v>
      </c>
      <c r="AF68" s="91" t="s">
        <v>161</v>
      </c>
      <c r="AG68" s="91" t="s">
        <v>161</v>
      </c>
      <c r="AH68" s="91" t="s">
        <v>161</v>
      </c>
      <c r="AI68" s="91" t="s">
        <v>161</v>
      </c>
      <c r="AJ68" s="91"/>
      <c r="AK68" s="91"/>
      <c r="AL68" s="91"/>
      <c r="AM68" s="91"/>
      <c r="AN68" s="91">
        <f t="shared" si="17"/>
        <v>0</v>
      </c>
    </row>
    <row r="69" spans="1:40" s="71" customFormat="1" ht="24" customHeight="1" thickBot="1" x14ac:dyDescent="0.3">
      <c r="A69" s="60"/>
      <c r="B69" s="126"/>
      <c r="C69" s="126"/>
      <c r="D69" s="126"/>
      <c r="E69" s="127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8" t="s">
        <v>179</v>
      </c>
      <c r="Q69" s="128"/>
      <c r="R69" s="128"/>
      <c r="S69" s="129">
        <f>IF(SUM(Total9,Total10)&lt;&gt;0, SUM(Total10)/SUM(Total9,Total10), 0)</f>
        <v>1.614651472248807E-2</v>
      </c>
      <c r="AM69" s="91"/>
    </row>
    <row r="70" spans="1:40" s="71" customFormat="1" ht="24" customHeight="1" thickBot="1" x14ac:dyDescent="0.3">
      <c r="A70" s="60"/>
      <c r="B70" s="179"/>
      <c r="C70" s="179"/>
      <c r="D70" s="179"/>
      <c r="E70" s="180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 t="s">
        <v>219</v>
      </c>
      <c r="S70" s="153">
        <f>SUM(Total9)+SUM(Total10)</f>
        <v>3298174.926</v>
      </c>
      <c r="AM70" s="91">
        <v>1015</v>
      </c>
    </row>
    <row r="71" spans="1:40" s="71" customFormat="1" ht="24" customHeight="1" x14ac:dyDescent="0.25">
      <c r="A71" s="60"/>
      <c r="E71" s="130"/>
      <c r="I71" s="93"/>
    </row>
    <row r="72" spans="1:40" s="71" customFormat="1" ht="24" customHeight="1" x14ac:dyDescent="0.25">
      <c r="A72" s="60"/>
      <c r="B72" s="182" t="s">
        <v>220</v>
      </c>
      <c r="C72" s="183"/>
      <c r="D72" s="184" t="s">
        <v>154</v>
      </c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6"/>
      <c r="P72" s="65" t="s">
        <v>146</v>
      </c>
      <c r="Q72" s="66"/>
      <c r="R72" s="66"/>
      <c r="S72" s="67"/>
      <c r="AM72" s="91"/>
    </row>
    <row r="73" spans="1:40" s="71" customFormat="1" ht="45" customHeight="1" x14ac:dyDescent="0.25">
      <c r="A73" s="60"/>
      <c r="B73" s="187"/>
      <c r="C73" s="188"/>
      <c r="D73" s="189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1"/>
      <c r="P73" s="96" t="s">
        <v>148</v>
      </c>
      <c r="Q73" s="96" t="s">
        <v>149</v>
      </c>
      <c r="R73" s="96" t="s">
        <v>150</v>
      </c>
      <c r="S73" s="95" t="s">
        <v>151</v>
      </c>
    </row>
    <row r="74" spans="1:40" s="71" customFormat="1" ht="24" customHeight="1" x14ac:dyDescent="0.25">
      <c r="A74" s="60"/>
      <c r="B74" s="192" t="s">
        <v>221</v>
      </c>
      <c r="C74" s="193"/>
      <c r="D74" s="194"/>
      <c r="E74" s="195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6"/>
      <c r="Q74" s="196"/>
      <c r="R74" s="196"/>
      <c r="S74" s="197"/>
    </row>
    <row r="75" spans="1:40" s="71" customFormat="1" ht="24.6" customHeight="1" x14ac:dyDescent="0.35">
      <c r="A75" s="78" t="s">
        <v>222</v>
      </c>
      <c r="B75" s="198"/>
      <c r="C75" s="199" t="s">
        <v>223</v>
      </c>
      <c r="D75" s="200">
        <v>1</v>
      </c>
      <c r="E75" s="201"/>
      <c r="F75" s="202"/>
      <c r="G75" s="202"/>
      <c r="H75" s="202"/>
      <c r="I75" s="203"/>
      <c r="J75" s="204"/>
      <c r="K75" s="204"/>
      <c r="L75" s="204"/>
      <c r="M75" s="204"/>
      <c r="N75" s="204"/>
      <c r="O75" s="205"/>
      <c r="P75" s="206">
        <v>779728</v>
      </c>
      <c r="Q75" s="207"/>
      <c r="R75" s="208">
        <v>492022</v>
      </c>
      <c r="S75" s="90">
        <f>IF(AND(P75="",Q75="",R75=""),"",SUM(P75:R75))</f>
        <v>1271750</v>
      </c>
      <c r="V75" s="91">
        <v>1.1000000000000001</v>
      </c>
      <c r="W75" s="91"/>
      <c r="X75" s="91">
        <v>1.1000000000000001</v>
      </c>
      <c r="Y75" s="209" t="s">
        <v>224</v>
      </c>
      <c r="Z75" s="210"/>
      <c r="AA75" s="210"/>
      <c r="AB75" s="210"/>
      <c r="AC75" s="210"/>
      <c r="AD75" s="210"/>
      <c r="AE75" s="210"/>
      <c r="AF75" s="210"/>
      <c r="AG75" s="210"/>
      <c r="AH75" s="210"/>
      <c r="AI75" s="211"/>
      <c r="AJ75" s="91"/>
      <c r="AK75" s="91"/>
      <c r="AL75" s="91"/>
      <c r="AM75" s="91"/>
      <c r="AN75" s="91">
        <f t="shared" ref="AN75:AN76" si="18">IF(F75&amp;G75&amp;H75&amp;I75&amp;J75&amp;K75&amp;L75&amp;M75&amp;N75&amp;O75&amp;P75&amp;Q75&amp;R75&amp;S75="",0,1)</f>
        <v>1</v>
      </c>
    </row>
    <row r="76" spans="1:40" s="71" customFormat="1" ht="23.45" customHeight="1" x14ac:dyDescent="0.35">
      <c r="A76" s="78" t="s">
        <v>225</v>
      </c>
      <c r="B76" s="198"/>
      <c r="C76" s="212" t="s">
        <v>226</v>
      </c>
      <c r="D76" s="213">
        <v>1</v>
      </c>
      <c r="E76" s="201"/>
      <c r="F76" s="202"/>
      <c r="G76" s="202"/>
      <c r="H76" s="202"/>
      <c r="I76" s="203"/>
      <c r="J76" s="204"/>
      <c r="K76" s="204"/>
      <c r="L76" s="204"/>
      <c r="M76" s="204"/>
      <c r="N76" s="204"/>
      <c r="O76" s="205"/>
      <c r="P76" s="214"/>
      <c r="Q76" s="214"/>
      <c r="R76" s="214"/>
      <c r="S76" s="90" t="str">
        <f>IF(AND(P76="",Q76="",R76=""),"",SUM(P76:R76))</f>
        <v/>
      </c>
      <c r="V76" s="91">
        <v>1.1000000000000001</v>
      </c>
      <c r="W76" s="91"/>
      <c r="X76" s="91">
        <v>1.1000000000000001</v>
      </c>
      <c r="Y76" s="209" t="s">
        <v>224</v>
      </c>
      <c r="Z76" s="210"/>
      <c r="AA76" s="210"/>
      <c r="AB76" s="210"/>
      <c r="AC76" s="210"/>
      <c r="AD76" s="210"/>
      <c r="AE76" s="210"/>
      <c r="AF76" s="210"/>
      <c r="AG76" s="210"/>
      <c r="AH76" s="210"/>
      <c r="AI76" s="211"/>
      <c r="AJ76" s="91"/>
      <c r="AK76" s="91"/>
      <c r="AL76" s="91"/>
      <c r="AM76" s="91"/>
      <c r="AN76" s="91">
        <f t="shared" si="18"/>
        <v>0</v>
      </c>
    </row>
    <row r="77" spans="1:40" s="71" customFormat="1" ht="24" customHeight="1" x14ac:dyDescent="0.25">
      <c r="A77" s="60"/>
      <c r="B77" s="192" t="s">
        <v>227</v>
      </c>
      <c r="C77" s="215"/>
      <c r="D77" s="216"/>
      <c r="E77" s="217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9"/>
      <c r="Q77" s="219"/>
      <c r="R77" s="219"/>
      <c r="S77" s="220"/>
    </row>
    <row r="78" spans="1:40" s="71" customFormat="1" ht="24.6" customHeight="1" x14ac:dyDescent="0.35">
      <c r="A78" s="78" t="s">
        <v>228</v>
      </c>
      <c r="B78" s="198"/>
      <c r="C78" s="199" t="s">
        <v>229</v>
      </c>
      <c r="D78" s="200">
        <v>1</v>
      </c>
      <c r="E78" s="201"/>
      <c r="F78" s="202"/>
      <c r="G78" s="202"/>
      <c r="H78" s="202"/>
      <c r="I78" s="203"/>
      <c r="J78" s="204"/>
      <c r="K78" s="204"/>
      <c r="L78" s="204"/>
      <c r="M78" s="204"/>
      <c r="N78" s="204"/>
      <c r="O78" s="205"/>
      <c r="P78" s="221">
        <v>146790</v>
      </c>
      <c r="Q78" s="207"/>
      <c r="R78" s="207"/>
      <c r="S78" s="90">
        <f>IF(AND(P78="",Q78="",R78=""),"",SUM(P78:R78))</f>
        <v>146790</v>
      </c>
      <c r="V78" s="91">
        <v>1.1000000000000001</v>
      </c>
      <c r="W78" s="91"/>
      <c r="X78" s="91">
        <v>1.1000000000000001</v>
      </c>
      <c r="Y78" s="209" t="s">
        <v>224</v>
      </c>
      <c r="Z78" s="210"/>
      <c r="AA78" s="210"/>
      <c r="AB78" s="210"/>
      <c r="AC78" s="210"/>
      <c r="AD78" s="210"/>
      <c r="AE78" s="210"/>
      <c r="AF78" s="210"/>
      <c r="AG78" s="210"/>
      <c r="AH78" s="210"/>
      <c r="AI78" s="211"/>
      <c r="AJ78" s="91"/>
      <c r="AK78" s="91"/>
      <c r="AL78" s="91"/>
      <c r="AM78" s="91"/>
      <c r="AN78" s="91">
        <f t="shared" ref="AN78:AN79" si="19">IF(F78&amp;G78&amp;H78&amp;I78&amp;J78&amp;K78&amp;L78&amp;M78&amp;N78&amp;O78&amp;P78&amp;Q78&amp;R78&amp;S78="",0,1)</f>
        <v>1</v>
      </c>
    </row>
    <row r="79" spans="1:40" s="71" customFormat="1" ht="42" x14ac:dyDescent="0.35">
      <c r="A79" s="78" t="s">
        <v>230</v>
      </c>
      <c r="B79" s="198"/>
      <c r="C79" s="116" t="s">
        <v>231</v>
      </c>
      <c r="D79" s="222">
        <v>1</v>
      </c>
      <c r="E79" s="201"/>
      <c r="F79" s="202"/>
      <c r="G79" s="202"/>
      <c r="H79" s="202"/>
      <c r="I79" s="203"/>
      <c r="J79" s="204"/>
      <c r="K79" s="204"/>
      <c r="L79" s="204"/>
      <c r="M79" s="204"/>
      <c r="N79" s="204"/>
      <c r="O79" s="205"/>
      <c r="P79" s="223"/>
      <c r="Q79" s="223"/>
      <c r="R79" s="223"/>
      <c r="S79" s="90" t="str">
        <f>IF(AND(P79="",Q79="",R79=""),"",SUM(P79:R79))</f>
        <v/>
      </c>
      <c r="V79" s="91">
        <v>1.1000000000000001</v>
      </c>
      <c r="W79" s="91"/>
      <c r="X79" s="91">
        <v>1.1000000000000001</v>
      </c>
      <c r="Y79" s="209" t="s">
        <v>224</v>
      </c>
      <c r="Z79" s="210"/>
      <c r="AA79" s="210"/>
      <c r="AB79" s="210"/>
      <c r="AC79" s="210"/>
      <c r="AD79" s="210"/>
      <c r="AE79" s="210"/>
      <c r="AF79" s="210"/>
      <c r="AG79" s="210"/>
      <c r="AH79" s="210"/>
      <c r="AI79" s="211"/>
      <c r="AJ79" s="91"/>
      <c r="AK79" s="91"/>
      <c r="AL79" s="91"/>
      <c r="AM79" s="91"/>
      <c r="AN79" s="91">
        <f t="shared" si="19"/>
        <v>0</v>
      </c>
    </row>
    <row r="80" spans="1:40" s="71" customFormat="1" ht="24" customHeight="1" x14ac:dyDescent="0.25">
      <c r="A80" s="60"/>
      <c r="B80" s="192" t="s">
        <v>232</v>
      </c>
      <c r="C80" s="215"/>
      <c r="D80" s="216"/>
      <c r="E80" s="217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9"/>
      <c r="Q80" s="219"/>
      <c r="R80" s="219"/>
      <c r="S80" s="220"/>
    </row>
    <row r="81" spans="1:40" s="71" customFormat="1" ht="24.6" customHeight="1" x14ac:dyDescent="0.35">
      <c r="A81" s="78" t="s">
        <v>233</v>
      </c>
      <c r="B81" s="198"/>
      <c r="C81" s="199" t="s">
        <v>234</v>
      </c>
      <c r="D81" s="200">
        <v>1</v>
      </c>
      <c r="E81" s="201"/>
      <c r="F81" s="202"/>
      <c r="G81" s="202"/>
      <c r="H81" s="202"/>
      <c r="I81" s="203"/>
      <c r="J81" s="204"/>
      <c r="K81" s="204"/>
      <c r="L81" s="204"/>
      <c r="M81" s="204"/>
      <c r="N81" s="204"/>
      <c r="O81" s="205"/>
      <c r="P81" s="221">
        <v>129148</v>
      </c>
      <c r="Q81" s="207"/>
      <c r="R81" s="207"/>
      <c r="S81" s="90">
        <f>IF(AND(P81="",Q81="",R81=""),"",SUM(P81:R81))</f>
        <v>129148</v>
      </c>
      <c r="V81" s="91">
        <v>1.1000000000000001</v>
      </c>
      <c r="W81" s="91"/>
      <c r="X81" s="91">
        <v>1.1000000000000001</v>
      </c>
      <c r="Y81" s="209" t="s">
        <v>224</v>
      </c>
      <c r="Z81" s="210"/>
      <c r="AA81" s="210"/>
      <c r="AB81" s="210"/>
      <c r="AC81" s="210"/>
      <c r="AD81" s="210"/>
      <c r="AE81" s="210"/>
      <c r="AF81" s="210"/>
      <c r="AG81" s="210"/>
      <c r="AH81" s="210"/>
      <c r="AI81" s="211"/>
      <c r="AJ81" s="91"/>
      <c r="AK81" s="91"/>
      <c r="AL81" s="91"/>
      <c r="AM81" s="91"/>
      <c r="AN81" s="91">
        <f t="shared" ref="AN81:AN82" si="20">IF(F81&amp;G81&amp;H81&amp;I81&amp;J81&amp;K81&amp;L81&amp;M81&amp;N81&amp;O81&amp;P81&amp;Q81&amp;R81&amp;S81="",0,1)</f>
        <v>1</v>
      </c>
    </row>
    <row r="82" spans="1:40" s="71" customFormat="1" ht="42" x14ac:dyDescent="0.35">
      <c r="A82" s="78" t="s">
        <v>235</v>
      </c>
      <c r="B82" s="198"/>
      <c r="C82" s="116" t="s">
        <v>236</v>
      </c>
      <c r="D82" s="222">
        <v>1</v>
      </c>
      <c r="E82" s="201"/>
      <c r="F82" s="202"/>
      <c r="G82" s="202"/>
      <c r="H82" s="202"/>
      <c r="I82" s="203"/>
      <c r="J82" s="204"/>
      <c r="K82" s="204"/>
      <c r="L82" s="204"/>
      <c r="M82" s="204"/>
      <c r="N82" s="204"/>
      <c r="O82" s="205"/>
      <c r="P82" s="223"/>
      <c r="Q82" s="223"/>
      <c r="R82" s="223"/>
      <c r="S82" s="90" t="str">
        <f>IF(AND(P82="",Q82="",R82=""),"",SUM(P82:R82))</f>
        <v/>
      </c>
      <c r="V82" s="91">
        <v>1.1000000000000001</v>
      </c>
      <c r="W82" s="91"/>
      <c r="X82" s="91">
        <v>1.1000000000000001</v>
      </c>
      <c r="Y82" s="209" t="s">
        <v>224</v>
      </c>
      <c r="Z82" s="210"/>
      <c r="AA82" s="210"/>
      <c r="AB82" s="210"/>
      <c r="AC82" s="210"/>
      <c r="AD82" s="210"/>
      <c r="AE82" s="210"/>
      <c r="AF82" s="210"/>
      <c r="AG82" s="210"/>
      <c r="AH82" s="210"/>
      <c r="AI82" s="211"/>
      <c r="AJ82" s="91"/>
      <c r="AK82" s="91"/>
      <c r="AL82" s="91"/>
      <c r="AM82" s="91"/>
      <c r="AN82" s="91">
        <f t="shared" si="20"/>
        <v>0</v>
      </c>
    </row>
    <row r="83" spans="1:40" s="71" customFormat="1" ht="24" customHeight="1" x14ac:dyDescent="0.25">
      <c r="A83" s="60"/>
      <c r="B83" s="192" t="s">
        <v>237</v>
      </c>
      <c r="C83" s="215"/>
      <c r="D83" s="216"/>
      <c r="E83" s="217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9"/>
      <c r="Q83" s="219"/>
      <c r="R83" s="219"/>
      <c r="S83" s="220"/>
    </row>
    <row r="84" spans="1:40" s="71" customFormat="1" ht="24.6" customHeight="1" x14ac:dyDescent="0.35">
      <c r="A84" s="78" t="s">
        <v>238</v>
      </c>
      <c r="B84" s="198"/>
      <c r="C84" s="199" t="s">
        <v>239</v>
      </c>
      <c r="D84" s="200">
        <v>1</v>
      </c>
      <c r="E84" s="201"/>
      <c r="F84" s="202"/>
      <c r="G84" s="202"/>
      <c r="H84" s="202"/>
      <c r="I84" s="203"/>
      <c r="J84" s="204"/>
      <c r="K84" s="204"/>
      <c r="L84" s="204"/>
      <c r="M84" s="204"/>
      <c r="N84" s="204"/>
      <c r="O84" s="205"/>
      <c r="P84" s="221">
        <v>77331</v>
      </c>
      <c r="Q84" s="207"/>
      <c r="R84" s="207"/>
      <c r="S84" s="90">
        <f>IF(AND(P84="",Q84="",R84=""),"",SUM(P84:R84))</f>
        <v>77331</v>
      </c>
      <c r="V84" s="91">
        <v>1.1000000000000001</v>
      </c>
      <c r="W84" s="91"/>
      <c r="X84" s="91">
        <v>1.1000000000000001</v>
      </c>
      <c r="Y84" s="209" t="s">
        <v>224</v>
      </c>
      <c r="Z84" s="210"/>
      <c r="AA84" s="210"/>
      <c r="AB84" s="210"/>
      <c r="AC84" s="210"/>
      <c r="AD84" s="210"/>
      <c r="AE84" s="210"/>
      <c r="AF84" s="210"/>
      <c r="AG84" s="210"/>
      <c r="AH84" s="210"/>
      <c r="AI84" s="211"/>
      <c r="AJ84" s="91"/>
      <c r="AK84" s="91"/>
      <c r="AL84" s="91"/>
      <c r="AM84" s="91"/>
      <c r="AN84" s="91">
        <f t="shared" ref="AN84:AN85" si="21">IF(F84&amp;G84&amp;H84&amp;I84&amp;J84&amp;K84&amp;L84&amp;M84&amp;N84&amp;O84&amp;P84&amp;Q84&amp;R84&amp;S84="",0,1)</f>
        <v>1</v>
      </c>
    </row>
    <row r="85" spans="1:40" s="71" customFormat="1" ht="42.75" thickBot="1" x14ac:dyDescent="0.4">
      <c r="A85" s="78" t="s">
        <v>240</v>
      </c>
      <c r="B85" s="198"/>
      <c r="C85" s="116" t="s">
        <v>241</v>
      </c>
      <c r="D85" s="222">
        <v>1</v>
      </c>
      <c r="E85" s="201"/>
      <c r="F85" s="202"/>
      <c r="G85" s="202"/>
      <c r="H85" s="202"/>
      <c r="I85" s="203"/>
      <c r="J85" s="204"/>
      <c r="K85" s="204"/>
      <c r="L85" s="204"/>
      <c r="M85" s="204"/>
      <c r="N85" s="204"/>
      <c r="O85" s="205"/>
      <c r="P85" s="223"/>
      <c r="Q85" s="223"/>
      <c r="R85" s="223"/>
      <c r="S85" s="90" t="str">
        <f>IF(AND(P85="",Q85="",R85=""),"",SUM(P85:R85))</f>
        <v/>
      </c>
      <c r="V85" s="91">
        <v>1.1000000000000001</v>
      </c>
      <c r="W85" s="91"/>
      <c r="X85" s="91">
        <v>1.1000000000000001</v>
      </c>
      <c r="Y85" s="209" t="s">
        <v>224</v>
      </c>
      <c r="Z85" s="210"/>
      <c r="AA85" s="210"/>
      <c r="AB85" s="210"/>
      <c r="AC85" s="210"/>
      <c r="AD85" s="210"/>
      <c r="AE85" s="210"/>
      <c r="AF85" s="210"/>
      <c r="AG85" s="210"/>
      <c r="AH85" s="210"/>
      <c r="AI85" s="211"/>
      <c r="AJ85" s="91"/>
      <c r="AK85" s="91"/>
      <c r="AL85" s="91"/>
      <c r="AM85" s="91"/>
      <c r="AN85" s="91">
        <f t="shared" si="21"/>
        <v>0</v>
      </c>
    </row>
    <row r="86" spans="1:40" s="71" customFormat="1" ht="24" customHeight="1" thickBot="1" x14ac:dyDescent="0.3">
      <c r="A86" s="60"/>
      <c r="B86" s="152"/>
      <c r="C86" s="152"/>
      <c r="D86" s="152"/>
      <c r="E86" s="180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 t="s">
        <v>242</v>
      </c>
      <c r="S86" s="153">
        <f>SUM(Total11a, Total11b, Total11c, Total11d)</f>
        <v>1625019</v>
      </c>
      <c r="AM86" s="91"/>
    </row>
    <row r="87" spans="1:40" s="71" customFormat="1" ht="24" customHeight="1" x14ac:dyDescent="0.25">
      <c r="A87" s="60"/>
      <c r="E87" s="130"/>
      <c r="I87" s="93"/>
    </row>
    <row r="88" spans="1:40" s="71" customFormat="1" ht="39.75" customHeight="1" x14ac:dyDescent="0.25">
      <c r="A88" s="60"/>
      <c r="B88" s="182" t="s">
        <v>243</v>
      </c>
      <c r="C88" s="183"/>
      <c r="D88" s="224" t="s">
        <v>154</v>
      </c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6"/>
      <c r="P88" s="227" t="s">
        <v>244</v>
      </c>
      <c r="Q88" s="228"/>
      <c r="R88" s="132"/>
      <c r="S88" s="136" t="s">
        <v>137</v>
      </c>
    </row>
    <row r="89" spans="1:40" s="71" customFormat="1" ht="24" customHeight="1" x14ac:dyDescent="0.35">
      <c r="A89" s="78" t="s">
        <v>245</v>
      </c>
      <c r="B89" s="192" t="s">
        <v>221</v>
      </c>
      <c r="C89" s="229"/>
      <c r="D89" s="222">
        <v>1</v>
      </c>
      <c r="E89" s="201"/>
      <c r="F89" s="202"/>
      <c r="G89" s="202"/>
      <c r="H89" s="202"/>
      <c r="I89" s="230"/>
      <c r="J89" s="231"/>
      <c r="K89" s="231"/>
      <c r="L89" s="231"/>
      <c r="M89" s="231"/>
      <c r="N89" s="231"/>
      <c r="O89" s="232"/>
      <c r="P89" s="233"/>
      <c r="Q89" s="233"/>
      <c r="R89" s="233"/>
      <c r="S89" s="234">
        <v>367967</v>
      </c>
      <c r="V89" s="91"/>
      <c r="W89" s="91"/>
      <c r="X89" s="91"/>
      <c r="Y89" s="209" t="s">
        <v>224</v>
      </c>
      <c r="Z89" s="210"/>
      <c r="AA89" s="210"/>
      <c r="AB89" s="210"/>
      <c r="AC89" s="210"/>
      <c r="AD89" s="210"/>
      <c r="AE89" s="210"/>
      <c r="AF89" s="210"/>
      <c r="AG89" s="210"/>
      <c r="AH89" s="210"/>
      <c r="AI89" s="211"/>
      <c r="AJ89" s="91"/>
      <c r="AK89" s="91"/>
      <c r="AL89" s="91"/>
      <c r="AM89" s="91">
        <v>1.3</v>
      </c>
      <c r="AN89" s="91">
        <f t="shared" ref="AN89:AN92" si="22">IF(F89&amp;G89&amp;H89&amp;I89&amp;J89&amp;K89&amp;L89&amp;M89&amp;N89&amp;O89&amp;P89&amp;Q89&amp;R89&amp;S89="",0,1)</f>
        <v>1</v>
      </c>
    </row>
    <row r="90" spans="1:40" s="71" customFormat="1" ht="24" customHeight="1" x14ac:dyDescent="0.35">
      <c r="A90" s="78" t="s">
        <v>246</v>
      </c>
      <c r="B90" s="192" t="s">
        <v>227</v>
      </c>
      <c r="C90" s="229"/>
      <c r="D90" s="235">
        <v>1</v>
      </c>
      <c r="E90" s="201"/>
      <c r="F90" s="202"/>
      <c r="G90" s="202"/>
      <c r="H90" s="202"/>
      <c r="I90" s="230"/>
      <c r="J90" s="231"/>
      <c r="K90" s="231"/>
      <c r="L90" s="231"/>
      <c r="M90" s="231"/>
      <c r="N90" s="231"/>
      <c r="O90" s="232"/>
      <c r="P90" s="233"/>
      <c r="Q90" s="233"/>
      <c r="R90" s="233"/>
      <c r="S90" s="160">
        <v>99054</v>
      </c>
      <c r="V90" s="91"/>
      <c r="W90" s="91"/>
      <c r="X90" s="91"/>
      <c r="Y90" s="209" t="s">
        <v>224</v>
      </c>
      <c r="Z90" s="210"/>
      <c r="AA90" s="210"/>
      <c r="AB90" s="210"/>
      <c r="AC90" s="210"/>
      <c r="AD90" s="210"/>
      <c r="AE90" s="210"/>
      <c r="AF90" s="210"/>
      <c r="AG90" s="210"/>
      <c r="AH90" s="210"/>
      <c r="AI90" s="211"/>
      <c r="AJ90" s="91"/>
      <c r="AK90" s="91"/>
      <c r="AL90" s="91"/>
      <c r="AM90" s="91">
        <v>1.3</v>
      </c>
      <c r="AN90" s="91">
        <f t="shared" si="22"/>
        <v>1</v>
      </c>
    </row>
    <row r="91" spans="1:40" s="71" customFormat="1" ht="24" customHeight="1" x14ac:dyDescent="0.35">
      <c r="A91" s="78" t="s">
        <v>247</v>
      </c>
      <c r="B91" s="192" t="s">
        <v>232</v>
      </c>
      <c r="C91" s="229"/>
      <c r="D91" s="222">
        <v>1</v>
      </c>
      <c r="E91" s="201"/>
      <c r="F91" s="202"/>
      <c r="G91" s="202"/>
      <c r="H91" s="202"/>
      <c r="I91" s="230"/>
      <c r="J91" s="231"/>
      <c r="K91" s="231"/>
      <c r="L91" s="231"/>
      <c r="M91" s="231"/>
      <c r="N91" s="231"/>
      <c r="O91" s="232"/>
      <c r="P91" s="233"/>
      <c r="Q91" s="233"/>
      <c r="R91" s="233"/>
      <c r="S91" s="160">
        <v>87150</v>
      </c>
      <c r="V91" s="91"/>
      <c r="W91" s="91"/>
      <c r="X91" s="91"/>
      <c r="Y91" s="209" t="s">
        <v>224</v>
      </c>
      <c r="Z91" s="210"/>
      <c r="AA91" s="210"/>
      <c r="AB91" s="210"/>
      <c r="AC91" s="210"/>
      <c r="AD91" s="210"/>
      <c r="AE91" s="210"/>
      <c r="AF91" s="210"/>
      <c r="AG91" s="210"/>
      <c r="AH91" s="210"/>
      <c r="AI91" s="211"/>
      <c r="AJ91" s="91"/>
      <c r="AK91" s="91"/>
      <c r="AL91" s="91"/>
      <c r="AM91" s="91">
        <v>1.3</v>
      </c>
      <c r="AN91" s="91">
        <f t="shared" si="22"/>
        <v>1</v>
      </c>
    </row>
    <row r="92" spans="1:40" s="71" customFormat="1" ht="24" customHeight="1" thickBot="1" x14ac:dyDescent="0.4">
      <c r="A92" s="78" t="s">
        <v>248</v>
      </c>
      <c r="B92" s="192" t="s">
        <v>249</v>
      </c>
      <c r="C92" s="229"/>
      <c r="D92" s="235">
        <v>1</v>
      </c>
      <c r="E92" s="201"/>
      <c r="F92" s="202"/>
      <c r="G92" s="202"/>
      <c r="H92" s="202"/>
      <c r="I92" s="230"/>
      <c r="J92" s="231"/>
      <c r="K92" s="231"/>
      <c r="L92" s="231"/>
      <c r="M92" s="231"/>
      <c r="N92" s="231"/>
      <c r="O92" s="232"/>
      <c r="P92" s="233"/>
      <c r="Q92" s="233"/>
      <c r="R92" s="233"/>
      <c r="S92" s="160">
        <f>83843-3.92</f>
        <v>83839.08</v>
      </c>
      <c r="V92" s="91"/>
      <c r="W92" s="91"/>
      <c r="X92" s="91"/>
      <c r="Y92" s="209" t="s">
        <v>224</v>
      </c>
      <c r="Z92" s="210"/>
      <c r="AA92" s="210"/>
      <c r="AB92" s="210"/>
      <c r="AC92" s="210"/>
      <c r="AD92" s="210"/>
      <c r="AE92" s="210"/>
      <c r="AF92" s="210"/>
      <c r="AG92" s="210"/>
      <c r="AH92" s="210"/>
      <c r="AI92" s="211"/>
      <c r="AJ92" s="91"/>
      <c r="AK92" s="91"/>
      <c r="AL92" s="91"/>
      <c r="AM92" s="91">
        <v>1.3</v>
      </c>
      <c r="AN92" s="91">
        <f t="shared" si="22"/>
        <v>1</v>
      </c>
    </row>
    <row r="93" spans="1:40" s="71" customFormat="1" ht="24" customHeight="1" thickBot="1" x14ac:dyDescent="0.3">
      <c r="A93" s="60"/>
      <c r="B93" s="152"/>
      <c r="C93" s="152"/>
      <c r="D93" s="152"/>
      <c r="E93" s="180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 t="s">
        <v>250</v>
      </c>
      <c r="S93" s="153">
        <f>SUM(Total12)</f>
        <v>638010.07999999996</v>
      </c>
      <c r="AM93" s="91"/>
    </row>
    <row r="94" spans="1:40" s="71" customFormat="1" ht="24" customHeight="1" x14ac:dyDescent="0.25">
      <c r="A94" s="60"/>
      <c r="E94" s="130"/>
      <c r="I94" s="93"/>
    </row>
    <row r="95" spans="1:40" s="71" customFormat="1" ht="33.75" customHeight="1" x14ac:dyDescent="0.25">
      <c r="A95" s="60"/>
      <c r="B95" s="182" t="s">
        <v>251</v>
      </c>
      <c r="C95" s="183"/>
      <c r="D95" s="224" t="s">
        <v>154</v>
      </c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6"/>
      <c r="P95" s="227" t="s">
        <v>244</v>
      </c>
      <c r="Q95" s="228"/>
      <c r="R95" s="132"/>
      <c r="S95" s="236" t="s">
        <v>137</v>
      </c>
    </row>
    <row r="96" spans="1:40" s="71" customFormat="1" ht="24" customHeight="1" x14ac:dyDescent="0.25">
      <c r="A96" s="60"/>
      <c r="B96" s="192" t="s">
        <v>221</v>
      </c>
      <c r="C96" s="193"/>
      <c r="D96" s="194"/>
      <c r="E96" s="195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6"/>
      <c r="Q96" s="196"/>
      <c r="R96" s="196"/>
      <c r="S96" s="197"/>
    </row>
    <row r="97" spans="1:40" s="71" customFormat="1" ht="24.6" customHeight="1" x14ac:dyDescent="0.35">
      <c r="A97" s="78" t="s">
        <v>252</v>
      </c>
      <c r="B97" s="198"/>
      <c r="C97" s="199" t="s">
        <v>253</v>
      </c>
      <c r="D97" s="200">
        <v>1</v>
      </c>
      <c r="E97" s="201"/>
      <c r="F97" s="202"/>
      <c r="G97" s="202"/>
      <c r="H97" s="202"/>
      <c r="I97" s="203"/>
      <c r="J97" s="204"/>
      <c r="K97" s="204"/>
      <c r="L97" s="204"/>
      <c r="M97" s="204"/>
      <c r="N97" s="204"/>
      <c r="O97" s="205"/>
      <c r="P97" s="233"/>
      <c r="Q97" s="233"/>
      <c r="R97" s="233"/>
      <c r="S97" s="119"/>
      <c r="V97" s="91">
        <v>1.1000000000000001</v>
      </c>
      <c r="W97" s="91"/>
      <c r="X97" s="91">
        <v>1.1000000000000001</v>
      </c>
      <c r="Y97" s="209" t="s">
        <v>224</v>
      </c>
      <c r="Z97" s="210"/>
      <c r="AA97" s="210"/>
      <c r="AB97" s="210"/>
      <c r="AC97" s="210"/>
      <c r="AD97" s="210"/>
      <c r="AE97" s="210"/>
      <c r="AF97" s="210"/>
      <c r="AG97" s="210"/>
      <c r="AH97" s="210"/>
      <c r="AI97" s="211"/>
      <c r="AJ97" s="91"/>
      <c r="AK97" s="91"/>
      <c r="AL97" s="91"/>
      <c r="AM97" s="91"/>
      <c r="AN97" s="91">
        <f t="shared" ref="AN97:AN98" si="23">IF(F97&amp;G97&amp;H97&amp;I97&amp;J97&amp;K97&amp;L97&amp;M97&amp;N97&amp;O97&amp;P97&amp;Q97&amp;R97&amp;S97="",0,1)</f>
        <v>0</v>
      </c>
    </row>
    <row r="98" spans="1:40" s="71" customFormat="1" ht="24" customHeight="1" x14ac:dyDescent="0.35">
      <c r="A98" s="78" t="s">
        <v>254</v>
      </c>
      <c r="B98" s="198"/>
      <c r="C98" s="212" t="s">
        <v>255</v>
      </c>
      <c r="D98" s="213">
        <v>1</v>
      </c>
      <c r="E98" s="201"/>
      <c r="F98" s="202"/>
      <c r="G98" s="202"/>
      <c r="H98" s="202"/>
      <c r="I98" s="203"/>
      <c r="J98" s="204"/>
      <c r="K98" s="204"/>
      <c r="L98" s="204"/>
      <c r="M98" s="204"/>
      <c r="N98" s="204"/>
      <c r="O98" s="205"/>
      <c r="P98" s="233"/>
      <c r="Q98" s="233"/>
      <c r="R98" s="233"/>
      <c r="S98" s="83">
        <f>312967-189.8</f>
        <v>312777.2</v>
      </c>
      <c r="V98" s="91">
        <v>1.1000000000000001</v>
      </c>
      <c r="W98" s="91"/>
      <c r="X98" s="91">
        <v>1.1000000000000001</v>
      </c>
      <c r="Y98" s="209" t="s">
        <v>224</v>
      </c>
      <c r="Z98" s="210"/>
      <c r="AA98" s="210"/>
      <c r="AB98" s="210"/>
      <c r="AC98" s="210"/>
      <c r="AD98" s="210"/>
      <c r="AE98" s="210"/>
      <c r="AF98" s="210"/>
      <c r="AG98" s="210"/>
      <c r="AH98" s="210"/>
      <c r="AI98" s="211"/>
      <c r="AJ98" s="91"/>
      <c r="AK98" s="91"/>
      <c r="AL98" s="91"/>
      <c r="AM98" s="91"/>
      <c r="AN98" s="91">
        <f t="shared" si="23"/>
        <v>1</v>
      </c>
    </row>
    <row r="99" spans="1:40" s="71" customFormat="1" ht="24" customHeight="1" x14ac:dyDescent="0.25">
      <c r="A99" s="60"/>
      <c r="B99" s="192" t="s">
        <v>227</v>
      </c>
      <c r="C99" s="215"/>
      <c r="D99" s="216"/>
      <c r="E99" s="217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  <c r="Q99" s="219"/>
      <c r="R99" s="219"/>
      <c r="S99" s="220"/>
    </row>
    <row r="100" spans="1:40" s="71" customFormat="1" ht="24.6" customHeight="1" x14ac:dyDescent="0.35">
      <c r="A100" s="78" t="s">
        <v>256</v>
      </c>
      <c r="B100" s="198"/>
      <c r="C100" s="199" t="s">
        <v>257</v>
      </c>
      <c r="D100" s="200">
        <v>1</v>
      </c>
      <c r="E100" s="201"/>
      <c r="F100" s="202"/>
      <c r="G100" s="202"/>
      <c r="H100" s="202"/>
      <c r="I100" s="203"/>
      <c r="J100" s="204"/>
      <c r="K100" s="204"/>
      <c r="L100" s="204"/>
      <c r="M100" s="204"/>
      <c r="N100" s="204"/>
      <c r="O100" s="205"/>
      <c r="P100" s="233"/>
      <c r="Q100" s="233"/>
      <c r="R100" s="233"/>
      <c r="S100" s="119"/>
      <c r="V100" s="91">
        <v>1.1000000000000001</v>
      </c>
      <c r="W100" s="91"/>
      <c r="X100" s="91">
        <v>1.1000000000000001</v>
      </c>
      <c r="Y100" s="209" t="s">
        <v>224</v>
      </c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1"/>
      <c r="AJ100" s="91"/>
      <c r="AK100" s="91"/>
      <c r="AL100" s="91"/>
      <c r="AM100" s="91"/>
      <c r="AN100" s="91">
        <f t="shared" ref="AN100:AN101" si="24">IF(F100&amp;G100&amp;H100&amp;I100&amp;J100&amp;K100&amp;L100&amp;M100&amp;N100&amp;O100&amp;P100&amp;Q100&amp;R100&amp;S100="",0,1)</f>
        <v>0</v>
      </c>
    </row>
    <row r="101" spans="1:40" s="71" customFormat="1" ht="24.6" customHeight="1" x14ac:dyDescent="0.35">
      <c r="A101" s="78" t="s">
        <v>258</v>
      </c>
      <c r="B101" s="198"/>
      <c r="C101" s="212" t="s">
        <v>259</v>
      </c>
      <c r="D101" s="222">
        <v>1</v>
      </c>
      <c r="E101" s="201"/>
      <c r="F101" s="202"/>
      <c r="G101" s="202"/>
      <c r="H101" s="202"/>
      <c r="I101" s="203"/>
      <c r="J101" s="204"/>
      <c r="K101" s="204"/>
      <c r="L101" s="204"/>
      <c r="M101" s="204"/>
      <c r="N101" s="204"/>
      <c r="O101" s="205"/>
      <c r="P101" s="233"/>
      <c r="Q101" s="233"/>
      <c r="R101" s="233"/>
      <c r="S101" s="160">
        <v>46110</v>
      </c>
      <c r="V101" s="91">
        <v>1.1000000000000001</v>
      </c>
      <c r="W101" s="91"/>
      <c r="X101" s="91">
        <v>1.1000000000000001</v>
      </c>
      <c r="Y101" s="209" t="s">
        <v>224</v>
      </c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1"/>
      <c r="AJ101" s="91"/>
      <c r="AK101" s="91"/>
      <c r="AL101" s="91"/>
      <c r="AM101" s="91"/>
      <c r="AN101" s="91">
        <f t="shared" si="24"/>
        <v>1</v>
      </c>
    </row>
    <row r="102" spans="1:40" s="71" customFormat="1" ht="24" customHeight="1" x14ac:dyDescent="0.25">
      <c r="A102" s="60"/>
      <c r="B102" s="192" t="s">
        <v>232</v>
      </c>
      <c r="C102" s="215"/>
      <c r="D102" s="216"/>
      <c r="E102" s="217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9"/>
      <c r="Q102" s="219"/>
      <c r="R102" s="219"/>
      <c r="S102" s="220"/>
    </row>
    <row r="103" spans="1:40" s="71" customFormat="1" ht="24.6" customHeight="1" x14ac:dyDescent="0.35">
      <c r="A103" s="78" t="s">
        <v>260</v>
      </c>
      <c r="B103" s="198"/>
      <c r="C103" s="199" t="s">
        <v>261</v>
      </c>
      <c r="D103" s="200">
        <v>1</v>
      </c>
      <c r="E103" s="201"/>
      <c r="F103" s="202"/>
      <c r="G103" s="202"/>
      <c r="H103" s="202"/>
      <c r="I103" s="203"/>
      <c r="J103" s="204"/>
      <c r="K103" s="204"/>
      <c r="L103" s="204"/>
      <c r="M103" s="204"/>
      <c r="N103" s="204"/>
      <c r="O103" s="205"/>
      <c r="P103" s="233"/>
      <c r="Q103" s="233"/>
      <c r="R103" s="233"/>
      <c r="S103" s="119"/>
      <c r="V103" s="91">
        <v>1.1000000000000001</v>
      </c>
      <c r="W103" s="91"/>
      <c r="X103" s="91">
        <v>1.1000000000000001</v>
      </c>
      <c r="Y103" s="209" t="s">
        <v>224</v>
      </c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1"/>
      <c r="AJ103" s="91"/>
      <c r="AK103" s="91"/>
      <c r="AL103" s="91"/>
      <c r="AM103" s="91"/>
      <c r="AN103" s="91">
        <f t="shared" ref="AN103:AN104" si="25">IF(F103&amp;G103&amp;H103&amp;I103&amp;J103&amp;K103&amp;L103&amp;M103&amp;N103&amp;O103&amp;P103&amp;Q103&amp;R103&amp;S103="",0,1)</f>
        <v>0</v>
      </c>
    </row>
    <row r="104" spans="1:40" s="71" customFormat="1" ht="24.6" customHeight="1" x14ac:dyDescent="0.35">
      <c r="A104" s="78" t="s">
        <v>262</v>
      </c>
      <c r="B104" s="198"/>
      <c r="C104" s="212" t="s">
        <v>263</v>
      </c>
      <c r="D104" s="222">
        <v>1</v>
      </c>
      <c r="E104" s="201"/>
      <c r="F104" s="202"/>
      <c r="G104" s="202"/>
      <c r="H104" s="202"/>
      <c r="I104" s="203"/>
      <c r="J104" s="204"/>
      <c r="K104" s="204"/>
      <c r="L104" s="204"/>
      <c r="M104" s="204"/>
      <c r="N104" s="204"/>
      <c r="O104" s="205"/>
      <c r="P104" s="233"/>
      <c r="Q104" s="233"/>
      <c r="R104" s="233"/>
      <c r="S104" s="160">
        <v>40569</v>
      </c>
      <c r="V104" s="91">
        <v>1.1000000000000001</v>
      </c>
      <c r="W104" s="91"/>
      <c r="X104" s="91">
        <v>1.1000000000000001</v>
      </c>
      <c r="Y104" s="209" t="s">
        <v>224</v>
      </c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1"/>
      <c r="AJ104" s="91"/>
      <c r="AK104" s="91"/>
      <c r="AL104" s="91"/>
      <c r="AM104" s="91"/>
      <c r="AN104" s="91">
        <f t="shared" si="25"/>
        <v>1</v>
      </c>
    </row>
    <row r="105" spans="1:40" s="71" customFormat="1" ht="24" customHeight="1" x14ac:dyDescent="0.25">
      <c r="A105" s="60"/>
      <c r="B105" s="192" t="s">
        <v>249</v>
      </c>
      <c r="C105" s="215"/>
      <c r="D105" s="216"/>
      <c r="E105" s="217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9"/>
      <c r="Q105" s="219"/>
      <c r="R105" s="219"/>
      <c r="S105" s="220"/>
    </row>
    <row r="106" spans="1:40" s="71" customFormat="1" ht="24.6" customHeight="1" x14ac:dyDescent="0.35">
      <c r="A106" s="78" t="s">
        <v>264</v>
      </c>
      <c r="B106" s="198"/>
      <c r="C106" s="199" t="s">
        <v>265</v>
      </c>
      <c r="D106" s="200">
        <v>1</v>
      </c>
      <c r="E106" s="201"/>
      <c r="F106" s="202"/>
      <c r="G106" s="202"/>
      <c r="H106" s="202"/>
      <c r="I106" s="203"/>
      <c r="J106" s="204"/>
      <c r="K106" s="204"/>
      <c r="L106" s="204"/>
      <c r="M106" s="204"/>
      <c r="N106" s="204"/>
      <c r="O106" s="205"/>
      <c r="P106" s="233"/>
      <c r="Q106" s="233"/>
      <c r="R106" s="233"/>
      <c r="S106" s="160">
        <v>20554</v>
      </c>
      <c r="V106" s="91">
        <v>1.1000000000000001</v>
      </c>
      <c r="W106" s="91"/>
      <c r="X106" s="91">
        <v>1.1000000000000001</v>
      </c>
      <c r="Y106" s="209" t="s">
        <v>224</v>
      </c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1"/>
      <c r="AJ106" s="91"/>
      <c r="AK106" s="91"/>
      <c r="AL106" s="91"/>
      <c r="AM106" s="91"/>
      <c r="AN106" s="91">
        <f t="shared" ref="AN106:AN107" si="26">IF(F106&amp;G106&amp;H106&amp;I106&amp;J106&amp;K106&amp;L106&amp;M106&amp;N106&amp;O106&amp;P106&amp;Q106&amp;R106&amp;S106="",0,1)</f>
        <v>1</v>
      </c>
    </row>
    <row r="107" spans="1:40" s="71" customFormat="1" ht="24" customHeight="1" thickBot="1" x14ac:dyDescent="0.4">
      <c r="A107" s="78" t="s">
        <v>266</v>
      </c>
      <c r="B107" s="198"/>
      <c r="C107" s="116" t="s">
        <v>267</v>
      </c>
      <c r="D107" s="222">
        <v>1</v>
      </c>
      <c r="E107" s="201"/>
      <c r="F107" s="202"/>
      <c r="G107" s="202"/>
      <c r="H107" s="202"/>
      <c r="I107" s="203"/>
      <c r="J107" s="204"/>
      <c r="K107" s="204"/>
      <c r="L107" s="204"/>
      <c r="M107" s="204"/>
      <c r="N107" s="204"/>
      <c r="O107" s="205"/>
      <c r="P107" s="233"/>
      <c r="Q107" s="233"/>
      <c r="R107" s="233"/>
      <c r="S107" s="119"/>
      <c r="V107" s="91">
        <v>1.1000000000000001</v>
      </c>
      <c r="W107" s="91"/>
      <c r="X107" s="91">
        <v>1.1000000000000001</v>
      </c>
      <c r="Y107" s="209" t="s">
        <v>224</v>
      </c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1"/>
      <c r="AJ107" s="91"/>
      <c r="AK107" s="91"/>
      <c r="AL107" s="91"/>
      <c r="AM107" s="91"/>
      <c r="AN107" s="91">
        <f t="shared" si="26"/>
        <v>0</v>
      </c>
    </row>
    <row r="108" spans="1:40" s="71" customFormat="1" ht="24" customHeight="1" thickBot="1" x14ac:dyDescent="0.3">
      <c r="A108" s="60"/>
      <c r="B108" s="179"/>
      <c r="C108" s="179"/>
      <c r="D108" s="179"/>
      <c r="E108" s="180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 t="s">
        <v>268</v>
      </c>
      <c r="S108" s="153">
        <f>SUM(Total13a, Total13b, Total13c, Total13d)</f>
        <v>420010.2</v>
      </c>
      <c r="AM108" s="91"/>
    </row>
    <row r="109" spans="1:40" s="237" customFormat="1" ht="24" customHeight="1" x14ac:dyDescent="0.25">
      <c r="A109" s="60"/>
      <c r="B109" s="71"/>
      <c r="C109" s="71"/>
      <c r="D109" s="71"/>
      <c r="E109" s="130"/>
      <c r="F109" s="71"/>
      <c r="G109" s="71"/>
      <c r="H109" s="71"/>
      <c r="I109" s="93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spans="1:40" s="237" customFormat="1" ht="31.5" customHeight="1" x14ac:dyDescent="0.25">
      <c r="A110" s="60"/>
      <c r="B110" s="182" t="s">
        <v>269</v>
      </c>
      <c r="C110" s="183"/>
      <c r="D110" s="238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40"/>
      <c r="P110" s="227" t="s">
        <v>244</v>
      </c>
      <c r="Q110" s="228"/>
      <c r="R110" s="132"/>
      <c r="S110" s="236" t="s">
        <v>137</v>
      </c>
      <c r="T110" s="71"/>
    </row>
    <row r="111" spans="1:40" s="237" customFormat="1" ht="24" customHeight="1" x14ac:dyDescent="0.25">
      <c r="A111" s="60" t="s">
        <v>270</v>
      </c>
      <c r="B111" s="192" t="s">
        <v>221</v>
      </c>
      <c r="C111" s="241"/>
      <c r="D111" s="242"/>
      <c r="E111" s="243"/>
      <c r="F111" s="242"/>
      <c r="G111" s="242"/>
      <c r="H111" s="242"/>
      <c r="I111" s="244"/>
      <c r="J111" s="242"/>
      <c r="K111" s="242"/>
      <c r="L111" s="242"/>
      <c r="M111" s="242"/>
      <c r="N111" s="242"/>
      <c r="O111" s="242"/>
      <c r="P111" s="245"/>
      <c r="Q111" s="246"/>
      <c r="R111" s="247"/>
      <c r="S111" s="248">
        <v>561982</v>
      </c>
      <c r="T111" s="71"/>
      <c r="V111" s="91">
        <v>1.1000000000000001</v>
      </c>
      <c r="W111" s="91"/>
      <c r="X111" s="91">
        <v>1.1000000000000001</v>
      </c>
      <c r="Y111" s="209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1"/>
      <c r="AJ111" s="249"/>
      <c r="AK111" s="249"/>
      <c r="AL111" s="249"/>
      <c r="AM111" s="91">
        <v>1.3</v>
      </c>
      <c r="AN111" s="91">
        <f t="shared" ref="AN111:AN114" si="27">IF(F111&amp;G111&amp;H111&amp;I111&amp;J111&amp;K111&amp;L111&amp;M111&amp;N111&amp;O111&amp;P111&amp;Q111&amp;R111&amp;S111="",0,1)</f>
        <v>1</v>
      </c>
    </row>
    <row r="112" spans="1:40" s="237" customFormat="1" ht="24" customHeight="1" x14ac:dyDescent="0.25">
      <c r="A112" s="60" t="s">
        <v>271</v>
      </c>
      <c r="B112" s="192" t="s">
        <v>227</v>
      </c>
      <c r="C112" s="241"/>
      <c r="D112" s="242"/>
      <c r="E112" s="243"/>
      <c r="F112" s="242"/>
      <c r="G112" s="242"/>
      <c r="H112" s="242"/>
      <c r="I112" s="244"/>
      <c r="J112" s="242"/>
      <c r="K112" s="242"/>
      <c r="L112" s="242"/>
      <c r="M112" s="242"/>
      <c r="N112" s="242"/>
      <c r="O112" s="242"/>
      <c r="P112" s="245"/>
      <c r="Q112" s="246"/>
      <c r="R112" s="247"/>
      <c r="S112" s="250">
        <v>171666</v>
      </c>
      <c r="T112" s="71"/>
      <c r="V112" s="91">
        <v>1.1000000000000001</v>
      </c>
      <c r="W112" s="91"/>
      <c r="X112" s="91">
        <v>1.1000000000000001</v>
      </c>
      <c r="Y112" s="209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1"/>
      <c r="AJ112" s="249"/>
      <c r="AK112" s="249"/>
      <c r="AL112" s="249"/>
      <c r="AM112" s="91">
        <v>1.3</v>
      </c>
      <c r="AN112" s="91">
        <f t="shared" si="27"/>
        <v>1</v>
      </c>
    </row>
    <row r="113" spans="1:40" s="237" customFormat="1" ht="24" customHeight="1" x14ac:dyDescent="0.25">
      <c r="A113" s="60" t="s">
        <v>272</v>
      </c>
      <c r="B113" s="192" t="s">
        <v>232</v>
      </c>
      <c r="C113" s="241"/>
      <c r="D113" s="242"/>
      <c r="E113" s="243"/>
      <c r="F113" s="242"/>
      <c r="G113" s="242"/>
      <c r="H113" s="242"/>
      <c r="I113" s="244"/>
      <c r="J113" s="242"/>
      <c r="K113" s="242"/>
      <c r="L113" s="242"/>
      <c r="M113" s="242"/>
      <c r="N113" s="242"/>
      <c r="O113" s="242"/>
      <c r="P113" s="245"/>
      <c r="Q113" s="246"/>
      <c r="R113" s="247"/>
      <c r="S113" s="250">
        <v>151035</v>
      </c>
      <c r="T113" s="71"/>
      <c r="V113" s="91">
        <v>1.1000000000000001</v>
      </c>
      <c r="W113" s="91"/>
      <c r="X113" s="91">
        <v>1.1000000000000001</v>
      </c>
      <c r="Y113" s="209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1"/>
      <c r="AJ113" s="249"/>
      <c r="AK113" s="249"/>
      <c r="AL113" s="249"/>
      <c r="AM113" s="91">
        <v>1.3</v>
      </c>
      <c r="AN113" s="91">
        <f t="shared" si="27"/>
        <v>1</v>
      </c>
    </row>
    <row r="114" spans="1:40" s="237" customFormat="1" ht="24" customHeight="1" thickBot="1" x14ac:dyDescent="0.3">
      <c r="A114" s="60" t="s">
        <v>273</v>
      </c>
      <c r="B114" s="192" t="s">
        <v>249</v>
      </c>
      <c r="C114" s="241"/>
      <c r="D114" s="242"/>
      <c r="E114" s="243"/>
      <c r="F114" s="242"/>
      <c r="G114" s="242"/>
      <c r="H114" s="242"/>
      <c r="I114" s="244"/>
      <c r="J114" s="242"/>
      <c r="K114" s="242"/>
      <c r="L114" s="242"/>
      <c r="M114" s="242"/>
      <c r="N114" s="242"/>
      <c r="O114" s="242"/>
      <c r="P114" s="245"/>
      <c r="Q114" s="246"/>
      <c r="R114" s="247"/>
      <c r="S114" s="250">
        <v>19361</v>
      </c>
      <c r="T114" s="71"/>
      <c r="V114" s="91">
        <v>1.1000000000000001</v>
      </c>
      <c r="W114" s="91"/>
      <c r="X114" s="91">
        <v>1.1000000000000001</v>
      </c>
      <c r="Y114" s="209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1"/>
      <c r="AJ114" s="249"/>
      <c r="AK114" s="249"/>
      <c r="AL114" s="249"/>
      <c r="AM114" s="91">
        <v>1.3</v>
      </c>
      <c r="AN114" s="91">
        <f t="shared" si="27"/>
        <v>1</v>
      </c>
    </row>
    <row r="115" spans="1:40" s="237" customFormat="1" ht="24" customHeight="1" thickBot="1" x14ac:dyDescent="0.3">
      <c r="A115" s="60"/>
      <c r="B115" s="152"/>
      <c r="C115" s="152"/>
      <c r="D115" s="152"/>
      <c r="E115" s="180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 t="s">
        <v>274</v>
      </c>
      <c r="S115" s="153">
        <f>SUM(Total14)</f>
        <v>904044</v>
      </c>
      <c r="T115" s="71"/>
      <c r="AM115" s="249"/>
    </row>
    <row r="116" spans="1:40" s="237" customFormat="1" ht="24" customHeight="1" x14ac:dyDescent="0.25">
      <c r="A116" s="60"/>
      <c r="B116" s="71"/>
      <c r="C116" s="71"/>
      <c r="D116" s="71"/>
      <c r="E116" s="130"/>
      <c r="F116" s="71"/>
      <c r="G116" s="71"/>
      <c r="H116" s="71"/>
      <c r="I116" s="93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</row>
    <row r="117" spans="1:40" s="237" customFormat="1" ht="28.5" customHeight="1" x14ac:dyDescent="0.25">
      <c r="A117" s="60"/>
      <c r="B117" s="182" t="s">
        <v>275</v>
      </c>
      <c r="C117" s="183"/>
      <c r="D117" s="224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6"/>
      <c r="P117" s="227" t="s">
        <v>244</v>
      </c>
      <c r="Q117" s="228"/>
      <c r="R117" s="132"/>
      <c r="S117" s="236" t="s">
        <v>137</v>
      </c>
      <c r="T117" s="71"/>
    </row>
    <row r="118" spans="1:40" s="237" customFormat="1" ht="24" customHeight="1" x14ac:dyDescent="0.25">
      <c r="A118" s="60" t="s">
        <v>276</v>
      </c>
      <c r="B118" s="192" t="s">
        <v>221</v>
      </c>
      <c r="C118" s="241"/>
      <c r="D118" s="242"/>
      <c r="E118" s="243"/>
      <c r="F118" s="242"/>
      <c r="G118" s="242"/>
      <c r="H118" s="242"/>
      <c r="I118" s="244"/>
      <c r="J118" s="242"/>
      <c r="K118" s="242"/>
      <c r="L118" s="242"/>
      <c r="M118" s="242"/>
      <c r="N118" s="242"/>
      <c r="O118" s="242"/>
      <c r="P118" s="245"/>
      <c r="Q118" s="246"/>
      <c r="R118" s="247"/>
      <c r="S118" s="248">
        <v>148330</v>
      </c>
      <c r="T118" s="71"/>
      <c r="V118" s="91">
        <v>1.1000000000000001</v>
      </c>
      <c r="W118" s="91"/>
      <c r="X118" s="91">
        <v>1.1000000000000001</v>
      </c>
      <c r="Y118" s="209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1"/>
      <c r="AJ118" s="249"/>
      <c r="AK118" s="249"/>
      <c r="AL118" s="249"/>
      <c r="AM118" s="91">
        <v>1.3</v>
      </c>
      <c r="AN118" s="91">
        <f t="shared" ref="AN118:AN121" si="28">IF(F118&amp;G118&amp;H118&amp;I118&amp;J118&amp;K118&amp;L118&amp;M118&amp;N118&amp;O118&amp;P118&amp;Q118&amp;R118&amp;S118="",0,1)</f>
        <v>1</v>
      </c>
    </row>
    <row r="119" spans="1:40" s="237" customFormat="1" ht="24" customHeight="1" x14ac:dyDescent="0.25">
      <c r="A119" s="60" t="s">
        <v>277</v>
      </c>
      <c r="B119" s="192" t="s">
        <v>227</v>
      </c>
      <c r="C119" s="241"/>
      <c r="D119" s="242"/>
      <c r="E119" s="243"/>
      <c r="F119" s="242"/>
      <c r="G119" s="242"/>
      <c r="H119" s="242"/>
      <c r="I119" s="244"/>
      <c r="J119" s="242"/>
      <c r="K119" s="242"/>
      <c r="L119" s="242"/>
      <c r="M119" s="242"/>
      <c r="N119" s="242"/>
      <c r="O119" s="242"/>
      <c r="P119" s="245"/>
      <c r="Q119" s="246"/>
      <c r="R119" s="247"/>
      <c r="S119" s="250">
        <v>25173</v>
      </c>
      <c r="T119" s="71"/>
      <c r="V119" s="91">
        <v>1.1000000000000001</v>
      </c>
      <c r="W119" s="91"/>
      <c r="X119" s="91">
        <v>1.1000000000000001</v>
      </c>
      <c r="Y119" s="209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1"/>
      <c r="AJ119" s="249"/>
      <c r="AK119" s="249"/>
      <c r="AL119" s="249"/>
      <c r="AM119" s="91">
        <v>1.3</v>
      </c>
      <c r="AN119" s="91">
        <f t="shared" si="28"/>
        <v>1</v>
      </c>
    </row>
    <row r="120" spans="1:40" s="237" customFormat="1" ht="24" customHeight="1" x14ac:dyDescent="0.25">
      <c r="A120" s="60" t="s">
        <v>278</v>
      </c>
      <c r="B120" s="192" t="s">
        <v>232</v>
      </c>
      <c r="C120" s="241"/>
      <c r="D120" s="242"/>
      <c r="E120" s="243"/>
      <c r="F120" s="242"/>
      <c r="G120" s="242"/>
      <c r="H120" s="242"/>
      <c r="I120" s="244"/>
      <c r="J120" s="242"/>
      <c r="K120" s="242"/>
      <c r="L120" s="242"/>
      <c r="M120" s="242"/>
      <c r="N120" s="242"/>
      <c r="O120" s="242"/>
      <c r="P120" s="245"/>
      <c r="Q120" s="246"/>
      <c r="R120" s="247"/>
      <c r="S120" s="250">
        <v>22147</v>
      </c>
      <c r="T120" s="71"/>
      <c r="V120" s="91">
        <v>1.1000000000000001</v>
      </c>
      <c r="W120" s="91"/>
      <c r="X120" s="91">
        <v>1.1000000000000001</v>
      </c>
      <c r="Y120" s="209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1"/>
      <c r="AJ120" s="249"/>
      <c r="AK120" s="249"/>
      <c r="AL120" s="249"/>
      <c r="AM120" s="91">
        <v>1.3</v>
      </c>
      <c r="AN120" s="91">
        <f t="shared" si="28"/>
        <v>1</v>
      </c>
    </row>
    <row r="121" spans="1:40" s="237" customFormat="1" ht="24" customHeight="1" thickBot="1" x14ac:dyDescent="0.3">
      <c r="A121" s="60" t="s">
        <v>279</v>
      </c>
      <c r="B121" s="192" t="s">
        <v>249</v>
      </c>
      <c r="C121" s="241"/>
      <c r="D121" s="242"/>
      <c r="E121" s="243"/>
      <c r="F121" s="242"/>
      <c r="G121" s="242"/>
      <c r="H121" s="242"/>
      <c r="I121" s="244"/>
      <c r="J121" s="242"/>
      <c r="K121" s="242"/>
      <c r="L121" s="242"/>
      <c r="M121" s="242"/>
      <c r="N121" s="242"/>
      <c r="O121" s="242"/>
      <c r="P121" s="245"/>
      <c r="Q121" s="246"/>
      <c r="R121" s="247"/>
      <c r="S121" s="250">
        <v>15470</v>
      </c>
      <c r="T121" s="71"/>
      <c r="V121" s="91">
        <v>1.1000000000000001</v>
      </c>
      <c r="W121" s="91"/>
      <c r="X121" s="91">
        <v>1.1000000000000001</v>
      </c>
      <c r="Y121" s="209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1"/>
      <c r="AJ121" s="249"/>
      <c r="AK121" s="249"/>
      <c r="AL121" s="249"/>
      <c r="AM121" s="91">
        <v>1.3</v>
      </c>
      <c r="AN121" s="91">
        <f t="shared" si="28"/>
        <v>1</v>
      </c>
    </row>
    <row r="122" spans="1:40" s="237" customFormat="1" ht="24" customHeight="1" thickBot="1" x14ac:dyDescent="0.3">
      <c r="A122" s="60"/>
      <c r="B122" s="179"/>
      <c r="C122" s="179"/>
      <c r="D122" s="179"/>
      <c r="E122" s="180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 t="s">
        <v>280</v>
      </c>
      <c r="S122" s="153">
        <f>SUM(Total15)</f>
        <v>211120</v>
      </c>
      <c r="T122" s="71"/>
      <c r="AM122" s="249"/>
    </row>
    <row r="123" spans="1:40" s="57" customFormat="1" ht="24" customHeight="1" x14ac:dyDescent="0.25">
      <c r="A123" s="51"/>
      <c r="B123" s="55"/>
      <c r="C123" s="55"/>
      <c r="D123" s="55"/>
      <c r="E123" s="56"/>
      <c r="F123" s="55"/>
      <c r="G123" s="55"/>
      <c r="H123" s="55"/>
      <c r="I123" s="58"/>
      <c r="J123" s="55"/>
      <c r="K123" s="55"/>
      <c r="L123" s="55"/>
      <c r="M123" s="55"/>
      <c r="N123" s="55"/>
      <c r="O123" s="55"/>
      <c r="P123" s="55"/>
      <c r="Q123" s="55"/>
      <c r="R123" s="55"/>
      <c r="S123" s="59"/>
      <c r="T123" s="52"/>
    </row>
    <row r="124" spans="1:40" s="57" customFormat="1" ht="24" customHeight="1" x14ac:dyDescent="0.25">
      <c r="A124" s="51"/>
      <c r="B124" s="52"/>
      <c r="C124" s="52"/>
      <c r="D124" s="52"/>
      <c r="E124" s="54"/>
      <c r="F124" s="52"/>
      <c r="G124" s="52"/>
      <c r="H124" s="52"/>
      <c r="I124" s="53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</row>
    <row r="125" spans="1:40" s="57" customFormat="1" ht="18.75" x14ac:dyDescent="0.25">
      <c r="A125" s="51"/>
      <c r="B125" s="52"/>
      <c r="C125" s="52"/>
      <c r="D125" s="52"/>
      <c r="E125" s="54"/>
      <c r="F125" s="52"/>
      <c r="G125" s="52"/>
      <c r="H125" s="52"/>
      <c r="I125" s="53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</row>
    <row r="126" spans="1:40" s="52" customFormat="1" ht="18.75" x14ac:dyDescent="0.25">
      <c r="A126" s="51"/>
      <c r="E126" s="54"/>
      <c r="I126" s="53"/>
    </row>
    <row r="127" spans="1:40" s="52" customFormat="1" ht="18.75" hidden="1" x14ac:dyDescent="0.25">
      <c r="A127" s="51"/>
      <c r="E127" s="54"/>
      <c r="I127" s="53"/>
      <c r="P127" s="52" t="s">
        <v>281</v>
      </c>
    </row>
    <row r="128" spans="1:40" s="52" customFormat="1" ht="18.75" hidden="1" x14ac:dyDescent="0.25">
      <c r="A128" s="51"/>
      <c r="E128" s="54"/>
      <c r="I128" s="53"/>
    </row>
    <row r="129" spans="16:19" ht="24" hidden="1" customHeight="1" x14ac:dyDescent="0.25">
      <c r="P129" s="32" t="s">
        <v>282</v>
      </c>
      <c r="Q129" s="33"/>
      <c r="R129" s="33"/>
      <c r="S129" s="34">
        <f>S21+S75+Total12a+S98+S111+S118</f>
        <v>23401440.152399998</v>
      </c>
    </row>
    <row r="130" spans="16:19" ht="24" hidden="1" customHeight="1" x14ac:dyDescent="0.25">
      <c r="P130" s="35" t="s">
        <v>283</v>
      </c>
      <c r="Q130" s="36"/>
      <c r="R130" s="36"/>
      <c r="S130" s="37">
        <f>S40+S78+Total12b+S101+S112+S119</f>
        <v>5035663.1580000008</v>
      </c>
    </row>
    <row r="131" spans="16:19" ht="24" hidden="1" customHeight="1" x14ac:dyDescent="0.25">
      <c r="P131" s="35" t="s">
        <v>284</v>
      </c>
      <c r="Q131" s="36"/>
      <c r="R131" s="36"/>
      <c r="S131" s="37">
        <f>Total7+S49+S50+S81+Total12c+S104+S113+S120</f>
        <v>4430466.6720000003</v>
      </c>
    </row>
    <row r="132" spans="16:19" ht="24" hidden="1" customHeight="1" x14ac:dyDescent="0.25">
      <c r="P132" s="35" t="s">
        <v>285</v>
      </c>
      <c r="Q132" s="36"/>
      <c r="R132" s="36"/>
      <c r="S132" s="37">
        <f>Total9+S64+S65+S84+Total12d+S106+S114+S121</f>
        <v>3514730.0060000001</v>
      </c>
    </row>
    <row r="133" spans="16:19" hidden="1" x14ac:dyDescent="0.25">
      <c r="P133" s="35"/>
      <c r="Q133" s="36"/>
      <c r="R133" s="36"/>
      <c r="S133" s="38"/>
    </row>
    <row r="134" spans="16:19" ht="24" hidden="1" customHeight="1" x14ac:dyDescent="0.25">
      <c r="P134" s="35" t="s">
        <v>286</v>
      </c>
      <c r="Q134" s="36"/>
      <c r="R134" s="36"/>
      <c r="S134" s="37">
        <f>SUM(S129:S133)</f>
        <v>36382299.988399997</v>
      </c>
    </row>
    <row r="135" spans="16:19" hidden="1" x14ac:dyDescent="0.25">
      <c r="P135" s="35"/>
      <c r="Q135" s="36"/>
      <c r="R135" s="36"/>
      <c r="S135" s="38"/>
    </row>
    <row r="136" spans="16:19" hidden="1" x14ac:dyDescent="0.25">
      <c r="P136" s="35" t="s">
        <v>287</v>
      </c>
      <c r="Q136" s="36"/>
      <c r="R136" s="36"/>
      <c r="S136" s="39">
        <f>[2]ALLOCATION!AE6</f>
        <v>36382300</v>
      </c>
    </row>
    <row r="137" spans="16:19" hidden="1" x14ac:dyDescent="0.25">
      <c r="P137" s="35"/>
      <c r="Q137" s="36"/>
      <c r="R137" s="36"/>
      <c r="S137" s="38"/>
    </row>
    <row r="138" spans="16:19" ht="13.5" hidden="1" thickBot="1" x14ac:dyDescent="0.3">
      <c r="P138" s="40" t="s">
        <v>288</v>
      </c>
      <c r="Q138" s="41"/>
      <c r="R138" s="41"/>
      <c r="S138" s="42">
        <f>S134-S136</f>
        <v>-1.1600002646446228E-2</v>
      </c>
    </row>
    <row r="139" spans="16:19" hidden="1" x14ac:dyDescent="0.25"/>
  </sheetData>
  <mergeCells count="166">
    <mergeCell ref="P121:R121"/>
    <mergeCell ref="Y121:AI121"/>
    <mergeCell ref="B1:T1"/>
    <mergeCell ref="B2:T2"/>
    <mergeCell ref="P118:R118"/>
    <mergeCell ref="Y118:AI118"/>
    <mergeCell ref="P119:R119"/>
    <mergeCell ref="Y119:AI119"/>
    <mergeCell ref="P120:R120"/>
    <mergeCell ref="Y120:AI120"/>
    <mergeCell ref="P113:R113"/>
    <mergeCell ref="Y113:AI113"/>
    <mergeCell ref="P114:R114"/>
    <mergeCell ref="Y114:AI114"/>
    <mergeCell ref="B117:C117"/>
    <mergeCell ref="D117:O117"/>
    <mergeCell ref="P117:R117"/>
    <mergeCell ref="B110:C110"/>
    <mergeCell ref="D110:O110"/>
    <mergeCell ref="P110:R110"/>
    <mergeCell ref="P111:R111"/>
    <mergeCell ref="Y111:AI111"/>
    <mergeCell ref="P112:R112"/>
    <mergeCell ref="Y112:AI112"/>
    <mergeCell ref="E104:O104"/>
    <mergeCell ref="Y104:AI104"/>
    <mergeCell ref="E106:O106"/>
    <mergeCell ref="Y106:AI106"/>
    <mergeCell ref="E107:O107"/>
    <mergeCell ref="Y107:AI107"/>
    <mergeCell ref="E100:O100"/>
    <mergeCell ref="Y100:AI100"/>
    <mergeCell ref="E101:O101"/>
    <mergeCell ref="Y101:AI101"/>
    <mergeCell ref="E103:O103"/>
    <mergeCell ref="Y103:AI103"/>
    <mergeCell ref="B95:C95"/>
    <mergeCell ref="D95:O95"/>
    <mergeCell ref="P95:R95"/>
    <mergeCell ref="E97:O97"/>
    <mergeCell ref="Y97:AI97"/>
    <mergeCell ref="E98:O98"/>
    <mergeCell ref="Y98:AI98"/>
    <mergeCell ref="E90:O90"/>
    <mergeCell ref="Y90:AI90"/>
    <mergeCell ref="E91:O91"/>
    <mergeCell ref="Y91:AI91"/>
    <mergeCell ref="E92:O92"/>
    <mergeCell ref="Y92:AI92"/>
    <mergeCell ref="E85:O85"/>
    <mergeCell ref="Y85:AI85"/>
    <mergeCell ref="B88:C88"/>
    <mergeCell ref="D88:O88"/>
    <mergeCell ref="P88:R88"/>
    <mergeCell ref="E89:O89"/>
    <mergeCell ref="Y89:AI89"/>
    <mergeCell ref="E81:O81"/>
    <mergeCell ref="Y81:AI81"/>
    <mergeCell ref="E82:O82"/>
    <mergeCell ref="Y82:AI82"/>
    <mergeCell ref="E84:O84"/>
    <mergeCell ref="Y84:AI84"/>
    <mergeCell ref="E76:O76"/>
    <mergeCell ref="Y76:AI76"/>
    <mergeCell ref="E78:O78"/>
    <mergeCell ref="Y78:AI78"/>
    <mergeCell ref="E79:O79"/>
    <mergeCell ref="Y79:AI79"/>
    <mergeCell ref="B72:C73"/>
    <mergeCell ref="D72:O73"/>
    <mergeCell ref="P72:S72"/>
    <mergeCell ref="E75:O75"/>
    <mergeCell ref="Y75:AI75"/>
    <mergeCell ref="J61:O61"/>
    <mergeCell ref="P61:S61"/>
    <mergeCell ref="M62:O62"/>
    <mergeCell ref="B63:D63"/>
    <mergeCell ref="P69:R69"/>
    <mergeCell ref="J57:L57"/>
    <mergeCell ref="P57:S57"/>
    <mergeCell ref="M58:O58"/>
    <mergeCell ref="B59:C59"/>
    <mergeCell ref="B61:C62"/>
    <mergeCell ref="D61:D62"/>
    <mergeCell ref="E61:E62"/>
    <mergeCell ref="F61:H61"/>
    <mergeCell ref="I61:I62"/>
    <mergeCell ref="P46:S46"/>
    <mergeCell ref="M47:O47"/>
    <mergeCell ref="B48:D48"/>
    <mergeCell ref="P54:R54"/>
    <mergeCell ref="B57:C58"/>
    <mergeCell ref="D57:D58"/>
    <mergeCell ref="E57:E58"/>
    <mergeCell ref="F57:H57"/>
    <mergeCell ref="I57:I58"/>
    <mergeCell ref="P42:S42"/>
    <mergeCell ref="M43:O43"/>
    <mergeCell ref="B44:C44"/>
    <mergeCell ref="B46:C47"/>
    <mergeCell ref="D46:D47"/>
    <mergeCell ref="E46:E47"/>
    <mergeCell ref="F46:H46"/>
    <mergeCell ref="I46:I47"/>
    <mergeCell ref="J46:O46"/>
    <mergeCell ref="B39:C39"/>
    <mergeCell ref="D39:O39"/>
    <mergeCell ref="B42:C43"/>
    <mergeCell ref="D42:D43"/>
    <mergeCell ref="E42:E43"/>
    <mergeCell ref="F42:H42"/>
    <mergeCell ref="I42:I43"/>
    <mergeCell ref="J42:L42"/>
    <mergeCell ref="P27:S27"/>
    <mergeCell ref="M28:O28"/>
    <mergeCell ref="B29:D29"/>
    <mergeCell ref="P35:R35"/>
    <mergeCell ref="B37:C38"/>
    <mergeCell ref="D37:D38"/>
    <mergeCell ref="E37:O38"/>
    <mergeCell ref="P37:S37"/>
    <mergeCell ref="P23:S23"/>
    <mergeCell ref="M24:O24"/>
    <mergeCell ref="B25:C25"/>
    <mergeCell ref="B27:C28"/>
    <mergeCell ref="D27:D28"/>
    <mergeCell ref="E27:E28"/>
    <mergeCell ref="F27:H27"/>
    <mergeCell ref="I27:I28"/>
    <mergeCell ref="J27:O27"/>
    <mergeCell ref="B23:C24"/>
    <mergeCell ref="D23:D24"/>
    <mergeCell ref="E23:E24"/>
    <mergeCell ref="F23:H23"/>
    <mergeCell ref="I23:I24"/>
    <mergeCell ref="J23:L23"/>
    <mergeCell ref="M10:O10"/>
    <mergeCell ref="B11:D11"/>
    <mergeCell ref="P17:R17"/>
    <mergeCell ref="B19:C19"/>
    <mergeCell ref="M19:O19"/>
    <mergeCell ref="B20:C20"/>
    <mergeCell ref="B7:C7"/>
    <mergeCell ref="B9:C10"/>
    <mergeCell ref="D9:D10"/>
    <mergeCell ref="E9:E10"/>
    <mergeCell ref="F9:H9"/>
    <mergeCell ref="I9:I10"/>
    <mergeCell ref="J9:O9"/>
    <mergeCell ref="P9:S9"/>
    <mergeCell ref="B5:C6"/>
    <mergeCell ref="D5:D6"/>
    <mergeCell ref="E5:E6"/>
    <mergeCell ref="F5:H5"/>
    <mergeCell ref="I5:I6"/>
    <mergeCell ref="J5:L5"/>
    <mergeCell ref="M5:O5"/>
    <mergeCell ref="P5:S5"/>
    <mergeCell ref="AD1:AF1"/>
    <mergeCell ref="AG1:AI1"/>
    <mergeCell ref="AJ1:AM1"/>
    <mergeCell ref="V1:W2"/>
    <mergeCell ref="X1:X2"/>
    <mergeCell ref="Y1:Y2"/>
    <mergeCell ref="Z1:AB1"/>
    <mergeCell ref="AC1:AC2"/>
  </mergeCells>
  <dataValidations count="2">
    <dataValidation type="list" allowBlank="1" showInputMessage="1" showErrorMessage="1" sqref="I44 I7 I25 I59" xr:uid="{723B700F-E0A9-4DAF-8443-A761CAE47543}">
      <formula1>"PerHour"</formula1>
    </dataValidation>
    <dataValidation type="list" allowBlank="1" showInputMessage="1" showErrorMessage="1" sqref="I20 I64:I68 I12:I16 I30:I34 I49:I53" xr:uid="{5DC0EDE4-E05A-47B6-A1FE-896FA5AFBB35}">
      <formula1>"PerHour, PerChild, LumpSum"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BA73-C161-40E8-A87E-F36EACBE7CE3}">
  <dimension ref="A1:O28"/>
  <sheetViews>
    <sheetView showGridLines="0" tabSelected="1" zoomScale="80" zoomScaleNormal="80" workbookViewId="0">
      <pane ySplit="5" topLeftCell="A6" activePane="bottomLeft" state="frozen"/>
      <selection pane="bottomLeft" activeCell="H21" sqref="H21"/>
    </sheetView>
  </sheetViews>
  <sheetFormatPr defaultRowHeight="15" x14ac:dyDescent="0.25"/>
  <cols>
    <col min="1" max="1" width="48.5703125" customWidth="1"/>
    <col min="2" max="2" width="10.85546875" customWidth="1"/>
    <col min="3" max="3" width="20.5703125" customWidth="1"/>
    <col min="4" max="4" width="16.140625" customWidth="1"/>
    <col min="5" max="5" width="18.140625" customWidth="1"/>
    <col min="6" max="7" width="16.140625" customWidth="1"/>
    <col min="8" max="8" width="20.85546875" customWidth="1"/>
    <col min="9" max="10" width="16.140625" customWidth="1"/>
    <col min="11" max="11" width="19.85546875" customWidth="1"/>
    <col min="12" max="13" width="16.140625" customWidth="1"/>
    <col min="14" max="14" width="21.28515625" customWidth="1"/>
    <col min="15" max="15" width="21.7109375" customWidth="1"/>
    <col min="16" max="16" width="0" hidden="1" customWidth="1"/>
  </cols>
  <sheetData>
    <row r="1" spans="1:15" ht="31.15" customHeight="1" x14ac:dyDescent="0.25">
      <c r="A1" s="49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8.35" customHeight="1" x14ac:dyDescent="0.25">
      <c r="A2" s="50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3.950000000000003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251" customFormat="1" ht="84" x14ac:dyDescent="0.35">
      <c r="A4" s="259" t="s">
        <v>48</v>
      </c>
      <c r="B4" s="260"/>
      <c r="C4" s="260"/>
      <c r="D4" s="260"/>
      <c r="E4" s="260"/>
      <c r="F4" s="261" t="s">
        <v>290</v>
      </c>
      <c r="G4" s="262"/>
      <c r="H4" s="253" t="s">
        <v>291</v>
      </c>
      <c r="I4" s="261" t="s">
        <v>292</v>
      </c>
      <c r="J4" s="262"/>
      <c r="K4" s="253" t="s">
        <v>329</v>
      </c>
      <c r="L4" s="261" t="s">
        <v>293</v>
      </c>
      <c r="M4" s="262"/>
      <c r="N4" s="253" t="s">
        <v>330</v>
      </c>
      <c r="O4" s="253" t="s">
        <v>294</v>
      </c>
    </row>
    <row r="5" spans="1:15" s="251" customFormat="1" ht="84" x14ac:dyDescent="0.35">
      <c r="A5" s="253" t="s">
        <v>295</v>
      </c>
      <c r="B5" s="253" t="s">
        <v>296</v>
      </c>
      <c r="C5" s="253" t="s">
        <v>297</v>
      </c>
      <c r="D5" s="253" t="s">
        <v>298</v>
      </c>
      <c r="E5" s="253" t="s">
        <v>299</v>
      </c>
      <c r="F5" s="253" t="s">
        <v>300</v>
      </c>
      <c r="G5" s="253" t="s">
        <v>301</v>
      </c>
      <c r="H5" s="253" t="s">
        <v>331</v>
      </c>
      <c r="I5" s="253" t="s">
        <v>300</v>
      </c>
      <c r="J5" s="253" t="s">
        <v>301</v>
      </c>
      <c r="K5" s="253" t="s">
        <v>332</v>
      </c>
      <c r="L5" s="253" t="s">
        <v>300</v>
      </c>
      <c r="M5" s="253" t="s">
        <v>301</v>
      </c>
      <c r="N5" s="253" t="s">
        <v>331</v>
      </c>
      <c r="O5" s="253" t="s">
        <v>302</v>
      </c>
    </row>
    <row r="6" spans="1:15" s="251" customFormat="1" ht="21" x14ac:dyDescent="0.35">
      <c r="A6" s="263" t="s">
        <v>303</v>
      </c>
      <c r="B6" s="264">
        <v>5951</v>
      </c>
      <c r="C6" s="264" t="s">
        <v>48</v>
      </c>
      <c r="D6" s="264"/>
      <c r="E6" s="264" t="s">
        <v>304</v>
      </c>
      <c r="F6" s="264"/>
      <c r="G6" s="264"/>
      <c r="H6" s="264"/>
      <c r="I6" s="264"/>
      <c r="J6" s="264"/>
      <c r="K6" s="264"/>
      <c r="L6" s="265">
        <v>115</v>
      </c>
      <c r="M6" s="265">
        <v>115</v>
      </c>
      <c r="N6" s="266">
        <v>2317678</v>
      </c>
      <c r="O6" s="266">
        <v>2317678</v>
      </c>
    </row>
    <row r="7" spans="1:15" s="251" customFormat="1" ht="21" x14ac:dyDescent="0.35">
      <c r="A7" s="263" t="s">
        <v>305</v>
      </c>
      <c r="B7" s="264">
        <v>2213</v>
      </c>
      <c r="C7" s="264" t="s">
        <v>48</v>
      </c>
      <c r="D7" s="264"/>
      <c r="E7" s="264" t="s">
        <v>306</v>
      </c>
      <c r="F7" s="265">
        <v>10</v>
      </c>
      <c r="G7" s="265">
        <v>10</v>
      </c>
      <c r="H7" s="266">
        <v>60000</v>
      </c>
      <c r="I7" s="264"/>
      <c r="J7" s="264"/>
      <c r="K7" s="264"/>
      <c r="L7" s="264"/>
      <c r="M7" s="264"/>
      <c r="N7" s="264"/>
      <c r="O7" s="266">
        <v>60000</v>
      </c>
    </row>
    <row r="8" spans="1:15" s="251" customFormat="1" ht="21" x14ac:dyDescent="0.35">
      <c r="A8" s="263" t="s">
        <v>307</v>
      </c>
      <c r="B8" s="264">
        <v>2231</v>
      </c>
      <c r="C8" s="264" t="s">
        <v>48</v>
      </c>
      <c r="D8" s="264"/>
      <c r="E8" s="264" t="s">
        <v>306</v>
      </c>
      <c r="F8" s="265">
        <v>10</v>
      </c>
      <c r="G8" s="265">
        <v>10</v>
      </c>
      <c r="H8" s="266">
        <v>60000</v>
      </c>
      <c r="I8" s="264"/>
      <c r="J8" s="264"/>
      <c r="K8" s="264"/>
      <c r="L8" s="264"/>
      <c r="M8" s="264"/>
      <c r="N8" s="264"/>
      <c r="O8" s="266">
        <v>60000</v>
      </c>
    </row>
    <row r="9" spans="1:15" s="251" customFormat="1" ht="21" x14ac:dyDescent="0.35">
      <c r="A9" s="263" t="s">
        <v>308</v>
      </c>
      <c r="B9" s="264">
        <v>2238</v>
      </c>
      <c r="C9" s="264" t="s">
        <v>48</v>
      </c>
      <c r="D9" s="264"/>
      <c r="E9" s="264" t="s">
        <v>306</v>
      </c>
      <c r="F9" s="265">
        <v>10</v>
      </c>
      <c r="G9" s="265">
        <v>10</v>
      </c>
      <c r="H9" s="266">
        <v>60000</v>
      </c>
      <c r="I9" s="264"/>
      <c r="J9" s="264"/>
      <c r="K9" s="264"/>
      <c r="L9" s="264"/>
      <c r="M9" s="264"/>
      <c r="N9" s="264"/>
      <c r="O9" s="266">
        <v>60000</v>
      </c>
    </row>
    <row r="10" spans="1:15" s="251" customFormat="1" ht="21" x14ac:dyDescent="0.35">
      <c r="A10" s="263" t="s">
        <v>309</v>
      </c>
      <c r="B10" s="264">
        <v>2240</v>
      </c>
      <c r="C10" s="264" t="s">
        <v>48</v>
      </c>
      <c r="D10" s="264"/>
      <c r="E10" s="264" t="s">
        <v>306</v>
      </c>
      <c r="F10" s="265">
        <v>18</v>
      </c>
      <c r="G10" s="265">
        <v>18</v>
      </c>
      <c r="H10" s="266">
        <v>108000</v>
      </c>
      <c r="I10" s="264"/>
      <c r="J10" s="264"/>
      <c r="K10" s="264"/>
      <c r="L10" s="264"/>
      <c r="M10" s="264"/>
      <c r="N10" s="264"/>
      <c r="O10" s="266">
        <v>108000</v>
      </c>
    </row>
    <row r="11" spans="1:15" s="251" customFormat="1" ht="21" x14ac:dyDescent="0.35">
      <c r="A11" s="263" t="s">
        <v>310</v>
      </c>
      <c r="B11" s="264">
        <v>2241</v>
      </c>
      <c r="C11" s="264" t="s">
        <v>48</v>
      </c>
      <c r="D11" s="264"/>
      <c r="E11" s="264" t="s">
        <v>306</v>
      </c>
      <c r="F11" s="265">
        <v>10</v>
      </c>
      <c r="G11" s="265">
        <v>10</v>
      </c>
      <c r="H11" s="266">
        <v>60000</v>
      </c>
      <c r="I11" s="264"/>
      <c r="J11" s="264"/>
      <c r="K11" s="264"/>
      <c r="L11" s="264"/>
      <c r="M11" s="264"/>
      <c r="N11" s="264"/>
      <c r="O11" s="266">
        <v>60000</v>
      </c>
    </row>
    <row r="12" spans="1:15" s="251" customFormat="1" ht="21" x14ac:dyDescent="0.35">
      <c r="A12" s="263" t="s">
        <v>311</v>
      </c>
      <c r="B12" s="264">
        <v>2303</v>
      </c>
      <c r="C12" s="264" t="s">
        <v>48</v>
      </c>
      <c r="D12" s="264"/>
      <c r="E12" s="264" t="s">
        <v>306</v>
      </c>
      <c r="F12" s="265">
        <v>10</v>
      </c>
      <c r="G12" s="265">
        <v>10</v>
      </c>
      <c r="H12" s="266">
        <v>60000</v>
      </c>
      <c r="I12" s="264"/>
      <c r="J12" s="264"/>
      <c r="K12" s="264"/>
      <c r="L12" s="264"/>
      <c r="M12" s="264"/>
      <c r="N12" s="264"/>
      <c r="O12" s="266">
        <v>60000</v>
      </c>
    </row>
    <row r="13" spans="1:15" s="251" customFormat="1" ht="21" x14ac:dyDescent="0.35">
      <c r="A13" s="263" t="s">
        <v>312</v>
      </c>
      <c r="B13" s="264">
        <v>2304</v>
      </c>
      <c r="C13" s="264" t="s">
        <v>48</v>
      </c>
      <c r="D13" s="264"/>
      <c r="E13" s="264" t="s">
        <v>306</v>
      </c>
      <c r="F13" s="265">
        <v>12</v>
      </c>
      <c r="G13" s="265">
        <v>12</v>
      </c>
      <c r="H13" s="266">
        <v>72000</v>
      </c>
      <c r="I13" s="264"/>
      <c r="J13" s="264"/>
      <c r="K13" s="264"/>
      <c r="L13" s="264"/>
      <c r="M13" s="264"/>
      <c r="N13" s="264"/>
      <c r="O13" s="266">
        <v>72000</v>
      </c>
    </row>
    <row r="14" spans="1:15" s="251" customFormat="1" ht="21" x14ac:dyDescent="0.35">
      <c r="A14" s="263" t="s">
        <v>313</v>
      </c>
      <c r="B14" s="264">
        <v>2317</v>
      </c>
      <c r="C14" s="264" t="s">
        <v>48</v>
      </c>
      <c r="D14" s="264"/>
      <c r="E14" s="264" t="s">
        <v>306</v>
      </c>
      <c r="F14" s="265">
        <v>11</v>
      </c>
      <c r="G14" s="265">
        <v>11</v>
      </c>
      <c r="H14" s="266">
        <v>66000</v>
      </c>
      <c r="I14" s="264"/>
      <c r="J14" s="264"/>
      <c r="K14" s="264"/>
      <c r="L14" s="264"/>
      <c r="M14" s="264"/>
      <c r="N14" s="264"/>
      <c r="O14" s="266">
        <v>66000</v>
      </c>
    </row>
    <row r="15" spans="1:15" s="251" customFormat="1" ht="21" x14ac:dyDescent="0.35">
      <c r="A15" s="263" t="s">
        <v>314</v>
      </c>
      <c r="B15" s="264">
        <v>2320</v>
      </c>
      <c r="C15" s="264" t="s">
        <v>48</v>
      </c>
      <c r="D15" s="264"/>
      <c r="E15" s="264" t="s">
        <v>306</v>
      </c>
      <c r="F15" s="265">
        <v>15</v>
      </c>
      <c r="G15" s="265">
        <v>15</v>
      </c>
      <c r="H15" s="266">
        <v>90000</v>
      </c>
      <c r="I15" s="264"/>
      <c r="J15" s="264"/>
      <c r="K15" s="264"/>
      <c r="L15" s="264"/>
      <c r="M15" s="264"/>
      <c r="N15" s="264"/>
      <c r="O15" s="266">
        <v>90000</v>
      </c>
    </row>
    <row r="16" spans="1:15" s="251" customFormat="1" ht="21" x14ac:dyDescent="0.35">
      <c r="A16" s="263" t="s">
        <v>315</v>
      </c>
      <c r="B16" s="264">
        <v>2359</v>
      </c>
      <c r="C16" s="264" t="s">
        <v>48</v>
      </c>
      <c r="D16" s="264"/>
      <c r="E16" s="264" t="s">
        <v>306</v>
      </c>
      <c r="F16" s="265">
        <v>10</v>
      </c>
      <c r="G16" s="265">
        <v>10</v>
      </c>
      <c r="H16" s="266">
        <v>60000</v>
      </c>
      <c r="I16" s="264"/>
      <c r="J16" s="264"/>
      <c r="K16" s="264"/>
      <c r="L16" s="264"/>
      <c r="M16" s="264"/>
      <c r="N16" s="264"/>
      <c r="O16" s="266">
        <v>60000</v>
      </c>
    </row>
    <row r="17" spans="1:15" s="251" customFormat="1" ht="21" x14ac:dyDescent="0.35">
      <c r="A17" s="263" t="s">
        <v>316</v>
      </c>
      <c r="B17" s="264">
        <v>4274</v>
      </c>
      <c r="C17" s="264" t="s">
        <v>48</v>
      </c>
      <c r="D17" s="264"/>
      <c r="E17" s="264" t="s">
        <v>306</v>
      </c>
      <c r="F17" s="265">
        <v>44</v>
      </c>
      <c r="G17" s="265">
        <v>44</v>
      </c>
      <c r="H17" s="266">
        <v>264000</v>
      </c>
      <c r="I17" s="264"/>
      <c r="J17" s="264"/>
      <c r="K17" s="264"/>
      <c r="L17" s="264"/>
      <c r="M17" s="264"/>
      <c r="N17" s="264"/>
      <c r="O17" s="266">
        <v>264000</v>
      </c>
    </row>
    <row r="18" spans="1:15" s="251" customFormat="1" ht="21" x14ac:dyDescent="0.35">
      <c r="A18" s="263" t="s">
        <v>317</v>
      </c>
      <c r="B18" s="264">
        <v>1100</v>
      </c>
      <c r="C18" s="264" t="s">
        <v>48</v>
      </c>
      <c r="D18" s="264"/>
      <c r="E18" s="264" t="s">
        <v>318</v>
      </c>
      <c r="F18" s="264"/>
      <c r="G18" s="264"/>
      <c r="H18" s="264"/>
      <c r="I18" s="265">
        <v>32</v>
      </c>
      <c r="J18" s="265">
        <v>42</v>
      </c>
      <c r="K18" s="266">
        <v>378333</v>
      </c>
      <c r="L18" s="264"/>
      <c r="M18" s="264"/>
      <c r="N18" s="264"/>
      <c r="O18" s="266">
        <v>378333</v>
      </c>
    </row>
    <row r="19" spans="1:15" s="251" customFormat="1" ht="21" x14ac:dyDescent="0.35">
      <c r="A19" s="263" t="s">
        <v>319</v>
      </c>
      <c r="B19" s="264">
        <v>1103</v>
      </c>
      <c r="C19" s="264" t="s">
        <v>48</v>
      </c>
      <c r="D19" s="264"/>
      <c r="E19" s="264" t="s">
        <v>318</v>
      </c>
      <c r="F19" s="264"/>
      <c r="G19" s="264"/>
      <c r="H19" s="264"/>
      <c r="I19" s="265">
        <v>140</v>
      </c>
      <c r="J19" s="265">
        <v>140</v>
      </c>
      <c r="K19" s="266">
        <v>1400000</v>
      </c>
      <c r="L19" s="264"/>
      <c r="M19" s="264"/>
      <c r="N19" s="264"/>
      <c r="O19" s="266">
        <v>1400000</v>
      </c>
    </row>
    <row r="20" spans="1:15" s="251" customFormat="1" ht="21" x14ac:dyDescent="0.35">
      <c r="A20" s="263" t="s">
        <v>320</v>
      </c>
      <c r="B20" s="264">
        <v>7213</v>
      </c>
      <c r="C20" s="264" t="s">
        <v>48</v>
      </c>
      <c r="D20" s="264"/>
      <c r="E20" s="264" t="s">
        <v>321</v>
      </c>
      <c r="F20" s="265">
        <v>132</v>
      </c>
      <c r="G20" s="265">
        <v>132</v>
      </c>
      <c r="H20" s="266">
        <v>1320000</v>
      </c>
      <c r="I20" s="264"/>
      <c r="J20" s="264"/>
      <c r="K20" s="264"/>
      <c r="L20" s="264"/>
      <c r="M20" s="264"/>
      <c r="N20" s="264"/>
      <c r="O20" s="266">
        <v>1320000</v>
      </c>
    </row>
    <row r="21" spans="1:15" s="251" customFormat="1" ht="21" x14ac:dyDescent="0.35">
      <c r="A21" s="263" t="s">
        <v>322</v>
      </c>
      <c r="B21" s="264">
        <v>7217</v>
      </c>
      <c r="C21" s="264" t="s">
        <v>48</v>
      </c>
      <c r="D21" s="264"/>
      <c r="E21" s="264" t="s">
        <v>321</v>
      </c>
      <c r="F21" s="265">
        <v>129</v>
      </c>
      <c r="G21" s="265">
        <v>129</v>
      </c>
      <c r="H21" s="266">
        <v>1290000</v>
      </c>
      <c r="I21" s="264"/>
      <c r="J21" s="264"/>
      <c r="K21" s="264"/>
      <c r="L21" s="264"/>
      <c r="M21" s="264"/>
      <c r="N21" s="264"/>
      <c r="O21" s="266">
        <v>1290000</v>
      </c>
    </row>
    <row r="22" spans="1:15" s="251" customFormat="1" ht="21" x14ac:dyDescent="0.35">
      <c r="A22" s="263" t="s">
        <v>323</v>
      </c>
      <c r="B22" s="264">
        <v>7218</v>
      </c>
      <c r="C22" s="264" t="s">
        <v>48</v>
      </c>
      <c r="D22" s="264"/>
      <c r="E22" s="264" t="s">
        <v>321</v>
      </c>
      <c r="F22" s="265">
        <v>435</v>
      </c>
      <c r="G22" s="265">
        <v>439</v>
      </c>
      <c r="H22" s="266">
        <v>4373333</v>
      </c>
      <c r="I22" s="264"/>
      <c r="J22" s="264"/>
      <c r="K22" s="264"/>
      <c r="L22" s="264"/>
      <c r="M22" s="264"/>
      <c r="N22" s="264"/>
      <c r="O22" s="266">
        <v>4373333</v>
      </c>
    </row>
    <row r="23" spans="1:15" s="251" customFormat="1" ht="21" x14ac:dyDescent="0.35">
      <c r="A23" s="263" t="s">
        <v>324</v>
      </c>
      <c r="B23" s="264">
        <v>7221</v>
      </c>
      <c r="C23" s="264" t="s">
        <v>48</v>
      </c>
      <c r="D23" s="264"/>
      <c r="E23" s="264" t="s">
        <v>321</v>
      </c>
      <c r="F23" s="265">
        <v>200</v>
      </c>
      <c r="G23" s="265">
        <v>200</v>
      </c>
      <c r="H23" s="266">
        <v>2000000</v>
      </c>
      <c r="I23" s="264"/>
      <c r="J23" s="264"/>
      <c r="K23" s="264"/>
      <c r="L23" s="264"/>
      <c r="M23" s="264"/>
      <c r="N23" s="264"/>
      <c r="O23" s="266">
        <v>2000000</v>
      </c>
    </row>
    <row r="24" spans="1:15" s="251" customFormat="1" ht="21" x14ac:dyDescent="0.35">
      <c r="A24" s="267" t="s">
        <v>325</v>
      </c>
      <c r="B24" s="268"/>
      <c r="C24" s="268"/>
      <c r="D24" s="268"/>
      <c r="E24" s="262"/>
      <c r="F24" s="269">
        <v>1056</v>
      </c>
      <c r="G24" s="269">
        <v>1060</v>
      </c>
      <c r="H24" s="270">
        <v>9943333</v>
      </c>
      <c r="I24" s="269">
        <v>172</v>
      </c>
      <c r="J24" s="269">
        <v>182</v>
      </c>
      <c r="K24" s="270">
        <v>1778333</v>
      </c>
      <c r="L24" s="269">
        <v>115</v>
      </c>
      <c r="M24" s="269">
        <v>115</v>
      </c>
      <c r="N24" s="270">
        <v>2317678</v>
      </c>
      <c r="O24" s="270">
        <v>14039344</v>
      </c>
    </row>
    <row r="25" spans="1:15" s="251" customFormat="1" ht="0" hidden="1" customHeight="1" x14ac:dyDescent="0.35"/>
    <row r="26" spans="1:15" s="251" customFormat="1" ht="21" x14ac:dyDescent="0.35"/>
    <row r="27" spans="1:15" s="251" customFormat="1" ht="21" x14ac:dyDescent="0.35"/>
    <row r="28" spans="1:15" s="251" customFormat="1" ht="21" x14ac:dyDescent="0.35"/>
  </sheetData>
  <mergeCells count="8">
    <mergeCell ref="A24:E24"/>
    <mergeCell ref="A1:O1"/>
    <mergeCell ref="A2:O2"/>
    <mergeCell ref="A3:O3"/>
    <mergeCell ref="A4:E4"/>
    <mergeCell ref="F4:G4"/>
    <mergeCell ref="I4:J4"/>
    <mergeCell ref="L4:M4"/>
  </mergeCells>
  <pageMargins left="0.196850393700787" right="0.196850393700787" top="0.196850393700787" bottom="0.196850393700787" header="0.196850393700787" footer="0.196850393700787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5f6d40-c121-45b9-8622-fd7b152283da">
      <Terms xmlns="http://schemas.microsoft.com/office/infopath/2007/PartnerControls"/>
    </lcf76f155ced4ddcb4097134ff3c332f>
    <TaxCatchAll xmlns="7ac18819-064b-4131-a9bb-2267033379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40BB77DB7FD4E91C33EFA40736A26" ma:contentTypeVersion="11" ma:contentTypeDescription="Create a new document." ma:contentTypeScope="" ma:versionID="982a1c4597c251bdbacd5bb3ca1630eb">
  <xsd:schema xmlns:xsd="http://www.w3.org/2001/XMLSchema" xmlns:xs="http://www.w3.org/2001/XMLSchema" xmlns:p="http://schemas.microsoft.com/office/2006/metadata/properties" xmlns:ns2="025f6d40-c121-45b9-8622-fd7b152283da" xmlns:ns3="7ac18819-064b-4131-a9bb-22670333798a" targetNamespace="http://schemas.microsoft.com/office/2006/metadata/properties" ma:root="true" ma:fieldsID="12d0f45572e93668d24e409700c6b4ea" ns2:_="" ns3:_="">
    <xsd:import namespace="025f6d40-c121-45b9-8622-fd7b152283da"/>
    <xsd:import namespace="7ac18819-064b-4131-a9bb-226703337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f6d40-c121-45b9-8622-fd7b152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70225b1-d351-448c-917d-4883002b8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18819-064b-4131-a9bb-2267033379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8bc2d8-23ef-4f32-becb-725aeaea3efa}" ma:internalName="TaxCatchAll" ma:showField="CatchAllData" ma:web="7ac18819-064b-4131-a9bb-226703337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1D342-83DE-411F-9E94-B58D242842ED}">
  <ds:schemaRefs>
    <ds:schemaRef ds:uri="http://schemas.microsoft.com/office/2006/metadata/properties"/>
    <ds:schemaRef ds:uri="http://schemas.microsoft.com/office/infopath/2007/PartnerControls"/>
    <ds:schemaRef ds:uri="025f6d40-c121-45b9-8622-fd7b152283da"/>
    <ds:schemaRef ds:uri="7ac18819-064b-4131-a9bb-22670333798a"/>
  </ds:schemaRefs>
</ds:datastoreItem>
</file>

<file path=customXml/itemProps2.xml><?xml version="1.0" encoding="utf-8"?>
<ds:datastoreItem xmlns:ds="http://schemas.openxmlformats.org/officeDocument/2006/customXml" ds:itemID="{C7DBFD8C-E647-42B7-94A3-D8AC2D1EB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B11DE-6973-40F2-988A-6AF44EAA9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f6d40-c121-45b9-8622-fd7b152283da"/>
    <ds:schemaRef ds:uri="7ac18819-064b-4131-a9bb-226703337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856 - LA Table</vt:lpstr>
      <vt:lpstr>Early Years</vt:lpstr>
      <vt:lpstr>High Needs Places</vt:lpstr>
      <vt:lpstr>'Early Years'!Total1</vt:lpstr>
      <vt:lpstr>'Early Years'!Total10</vt:lpstr>
      <vt:lpstr>'Early Years'!Total11a</vt:lpstr>
      <vt:lpstr>'Early Years'!Total11b</vt:lpstr>
      <vt:lpstr>'Early Years'!Total11c</vt:lpstr>
      <vt:lpstr>'Early Years'!Total11d</vt:lpstr>
      <vt:lpstr>'Early Years'!Total12</vt:lpstr>
      <vt:lpstr>'Early Years'!Total12a</vt:lpstr>
      <vt:lpstr>'Early Years'!Total12b</vt:lpstr>
      <vt:lpstr>'Early Years'!Total12c</vt:lpstr>
      <vt:lpstr>'Early Years'!Total12d</vt:lpstr>
      <vt:lpstr>'Early Years'!Total13a</vt:lpstr>
      <vt:lpstr>'Early Years'!Total13b</vt:lpstr>
      <vt:lpstr>'Early Years'!Total13c</vt:lpstr>
      <vt:lpstr>'Early Years'!Total13d</vt:lpstr>
      <vt:lpstr>'Early Years'!Total14</vt:lpstr>
      <vt:lpstr>'Early Years'!Total15</vt:lpstr>
      <vt:lpstr>'Early Years'!Total1a</vt:lpstr>
      <vt:lpstr>'Early Years'!Total2</vt:lpstr>
      <vt:lpstr>'Early Years'!Total3</vt:lpstr>
      <vt:lpstr>'Early Years'!Total4</vt:lpstr>
      <vt:lpstr>'Early Years'!Total4a</vt:lpstr>
      <vt:lpstr>'Early Years'!Total5</vt:lpstr>
      <vt:lpstr>'Early Years'!Total6</vt:lpstr>
      <vt:lpstr>'Early Years'!Total7</vt:lpstr>
      <vt:lpstr>'Early Years'!Total7a</vt:lpstr>
      <vt:lpstr>'Early Years'!Total8</vt:lpstr>
      <vt:lpstr>'Early Years'!Total9</vt:lpstr>
      <vt:lpstr>'Early Years'!Total9a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Ranjit Bahra</dc:creator>
  <cp:lastModifiedBy>Ranjit Bahra</cp:lastModifiedBy>
  <dcterms:created xsi:type="dcterms:W3CDTF">2026-05-14T10:56:49Z</dcterms:created>
  <dcterms:modified xsi:type="dcterms:W3CDTF">2026-05-21T13:07:54Z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0x01010084440BB77DB7FD4E91C33EFA40736A26</vt:lpwstr>
  </property>
  <property fmtid="{D5CDD505-2E9C-101B-9397-08002B2CF9AE}" pid="3" name="MediaServiceImageTags">
    <vt:lpwstr/>
  </property>
</Properties>
</file>